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uengo\intervencion\Técnicos de Intervención\1- Presupuestos y Prórrogas\PRESUPUESTO 2025\1- Elaboración del Presupuesto\02. Documentación y anexos\"/>
    </mc:Choice>
  </mc:AlternateContent>
  <xr:revisionPtr revIDLastSave="0" documentId="13_ncr:1_{CD80D06F-C9EB-457C-ABF3-47EAD32D0904}" xr6:coauthVersionLast="47" xr6:coauthVersionMax="47" xr10:uidLastSave="{00000000-0000-0000-0000-000000000000}"/>
  <bookViews>
    <workbookView xWindow="-120" yWindow="-120" windowWidth="29040" windowHeight="15720" tabRatio="432" xr2:uid="{00000000-000D-0000-FFFF-FFFF00000000}"/>
  </bookViews>
  <sheets>
    <sheet name="PLANTILLA" sheetId="1" r:id="rId1"/>
    <sheet name="RETRIBUCIONES 2025" sheetId="2" r:id="rId2"/>
  </sheets>
  <externalReferences>
    <externalReference r:id="rId3"/>
  </externalReferences>
  <definedNames>
    <definedName name="CD">'RETRIBUCIONES 2025'!$B$13:$W$14</definedName>
    <definedName name="Excel_BuiltIn_Print_Titles_1">PLANTILLA!$1:$9</definedName>
    <definedName name="PAGA_EXTRA">'RETRIBUCIONES 2025'!$B$8:$G$10</definedName>
    <definedName name="Print_Area" localSheetId="0">PLANTILLA!$A$1:$AD$561</definedName>
    <definedName name="RETRIBUCION_BASICA">'RETRIBUCIONES 2025'!$B$3:$G$5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44" i="1" l="1"/>
  <c r="K542" i="1"/>
  <c r="K540" i="1"/>
  <c r="H542" i="1"/>
  <c r="R542" i="1" s="1"/>
  <c r="H540" i="1"/>
  <c r="C542" i="1"/>
  <c r="N542" i="1" s="1"/>
  <c r="C540" i="1"/>
  <c r="N540" i="1" s="1"/>
  <c r="O542" i="1"/>
  <c r="F542" i="1"/>
  <c r="E544" i="1"/>
  <c r="H285" i="1"/>
  <c r="I285" i="1" s="1"/>
  <c r="E285" i="1"/>
  <c r="R285" i="1"/>
  <c r="Q285" i="1"/>
  <c r="O285" i="1"/>
  <c r="N285" i="1"/>
  <c r="K285" i="1"/>
  <c r="C285" i="1"/>
  <c r="D285" i="1" s="1"/>
  <c r="K544" i="1" l="1"/>
  <c r="H544" i="1"/>
  <c r="C544" i="1"/>
  <c r="D542" i="1"/>
  <c r="L542" i="1"/>
  <c r="L540" i="1"/>
  <c r="P542" i="1"/>
  <c r="S542" i="1" s="1"/>
  <c r="D540" i="1"/>
  <c r="I542" i="1"/>
  <c r="F540" i="1"/>
  <c r="F544" i="1" s="1"/>
  <c r="I540" i="1"/>
  <c r="O540" i="1"/>
  <c r="O544" i="1" s="1"/>
  <c r="R540" i="1"/>
  <c r="R544" i="1" s="1"/>
  <c r="P285" i="1"/>
  <c r="S285" i="1" s="1"/>
  <c r="L285" i="1"/>
  <c r="F285" i="1"/>
  <c r="M285" i="1" s="1"/>
  <c r="H53" i="1"/>
  <c r="I53" i="1" s="1"/>
  <c r="H40" i="1"/>
  <c r="G287" i="1"/>
  <c r="I544" i="1" l="1"/>
  <c r="L544" i="1"/>
  <c r="P540" i="1"/>
  <c r="S540" i="1" s="1"/>
  <c r="S544" i="1" s="1"/>
  <c r="M540" i="1"/>
  <c r="M542" i="1"/>
  <c r="T542" i="1" s="1"/>
  <c r="U542" i="1" s="1"/>
  <c r="V542" i="1" s="1"/>
  <c r="N544" i="1"/>
  <c r="D544" i="1"/>
  <c r="T285" i="1"/>
  <c r="U285" i="1" s="1"/>
  <c r="V285" i="1" s="1"/>
  <c r="O508" i="1"/>
  <c r="O512" i="1"/>
  <c r="O522" i="1"/>
  <c r="F508" i="1"/>
  <c r="F512" i="1"/>
  <c r="F522" i="1"/>
  <c r="J294" i="1"/>
  <c r="R269" i="1"/>
  <c r="R273" i="1"/>
  <c r="R275" i="1"/>
  <c r="R277" i="1"/>
  <c r="R279" i="1"/>
  <c r="R281" i="1"/>
  <c r="R290" i="1"/>
  <c r="R292" i="1"/>
  <c r="K269" i="1"/>
  <c r="K273" i="1"/>
  <c r="K275" i="1"/>
  <c r="K277" i="1"/>
  <c r="K279" i="1"/>
  <c r="K281" i="1"/>
  <c r="K290" i="1"/>
  <c r="K292" i="1"/>
  <c r="F273" i="1"/>
  <c r="F277" i="1"/>
  <c r="F279" i="1"/>
  <c r="F281" i="1"/>
  <c r="F283" i="1"/>
  <c r="F292" i="1"/>
  <c r="P544" i="1" l="1"/>
  <c r="M544" i="1"/>
  <c r="T540" i="1"/>
  <c r="K294" i="1"/>
  <c r="R294" i="1"/>
  <c r="T544" i="1" l="1"/>
  <c r="U540" i="1"/>
  <c r="U544" i="1" s="1"/>
  <c r="E334" i="1"/>
  <c r="J334" i="1"/>
  <c r="O334" i="1"/>
  <c r="R332" i="1"/>
  <c r="R334" i="1" s="1"/>
  <c r="N332" i="1"/>
  <c r="P332" i="1" s="1"/>
  <c r="P334" i="1" s="1"/>
  <c r="K332" i="1"/>
  <c r="K334" i="1" s="1"/>
  <c r="H332" i="1"/>
  <c r="I332" i="1" s="1"/>
  <c r="I334" i="1" s="1"/>
  <c r="C332" i="1"/>
  <c r="D332" i="1" s="1"/>
  <c r="D334" i="1" s="1"/>
  <c r="V540" i="1" l="1"/>
  <c r="V544" i="1" s="1"/>
  <c r="H334" i="1"/>
  <c r="N334" i="1"/>
  <c r="L332" i="1"/>
  <c r="L334" i="1" s="1"/>
  <c r="C334" i="1"/>
  <c r="F332" i="1"/>
  <c r="Q332" i="1"/>
  <c r="Q334" i="1" s="1"/>
  <c r="M332" i="1" l="1"/>
  <c r="F334" i="1"/>
  <c r="S332" i="1"/>
  <c r="S334" i="1" s="1"/>
  <c r="T332" i="1" l="1"/>
  <c r="M334" i="1"/>
  <c r="G204" i="1"/>
  <c r="J192" i="1"/>
  <c r="N190" i="1"/>
  <c r="N192" i="1" s="1"/>
  <c r="H190" i="1"/>
  <c r="H192" i="1" s="1"/>
  <c r="C190" i="1"/>
  <c r="C192" i="1" s="1"/>
  <c r="J188" i="1"/>
  <c r="J485" i="1"/>
  <c r="R483" i="1"/>
  <c r="R481" i="1"/>
  <c r="K483" i="1"/>
  <c r="K481" i="1"/>
  <c r="J306" i="1"/>
  <c r="R304" i="1"/>
  <c r="R306" i="1" s="1"/>
  <c r="K304" i="1"/>
  <c r="J472" i="1"/>
  <c r="R470" i="1"/>
  <c r="R472" i="1" s="1"/>
  <c r="K470" i="1"/>
  <c r="K472" i="1" s="1"/>
  <c r="J462" i="1"/>
  <c r="R460" i="1"/>
  <c r="R462" i="1" s="1"/>
  <c r="K460" i="1"/>
  <c r="K462" i="1" s="1"/>
  <c r="J450" i="1"/>
  <c r="R448" i="1"/>
  <c r="R450" i="1" s="1"/>
  <c r="K448" i="1"/>
  <c r="K450" i="1" s="1"/>
  <c r="J440" i="1"/>
  <c r="R438" i="1"/>
  <c r="R440" i="1" s="1"/>
  <c r="K438" i="1"/>
  <c r="K440" i="1" s="1"/>
  <c r="J376" i="1"/>
  <c r="J428" i="1"/>
  <c r="J424" i="1"/>
  <c r="C420" i="1"/>
  <c r="D420" i="1" s="1"/>
  <c r="F420" i="1"/>
  <c r="H420" i="1"/>
  <c r="I420" i="1" s="1"/>
  <c r="K420" i="1"/>
  <c r="N420" i="1"/>
  <c r="P420" i="1" s="1"/>
  <c r="R420" i="1"/>
  <c r="R422" i="1"/>
  <c r="R426" i="1"/>
  <c r="R428" i="1" s="1"/>
  <c r="R418" i="1"/>
  <c r="K422" i="1"/>
  <c r="K426" i="1"/>
  <c r="K428" i="1" s="1"/>
  <c r="K418" i="1"/>
  <c r="J409" i="1"/>
  <c r="R407" i="1"/>
  <c r="K407" i="1"/>
  <c r="R405" i="1"/>
  <c r="K405" i="1"/>
  <c r="J394" i="1"/>
  <c r="R378" i="1"/>
  <c r="R380" i="1"/>
  <c r="R382" i="1"/>
  <c r="R384" i="1"/>
  <c r="R386" i="1"/>
  <c r="R388" i="1"/>
  <c r="R390" i="1"/>
  <c r="R392" i="1"/>
  <c r="K378" i="1"/>
  <c r="K380" i="1"/>
  <c r="K382" i="1"/>
  <c r="K384" i="1"/>
  <c r="K386" i="1"/>
  <c r="K388" i="1"/>
  <c r="K390" i="1"/>
  <c r="K392" i="1"/>
  <c r="F384" i="1"/>
  <c r="F386" i="1"/>
  <c r="F390" i="1"/>
  <c r="F392" i="1"/>
  <c r="R374" i="1"/>
  <c r="R376" i="1" s="1"/>
  <c r="K374" i="1"/>
  <c r="K376" i="1" s="1"/>
  <c r="J366" i="1"/>
  <c r="R364" i="1"/>
  <c r="R366" i="1" s="1"/>
  <c r="K364" i="1"/>
  <c r="K366" i="1" s="1"/>
  <c r="E356" i="1"/>
  <c r="J356" i="1"/>
  <c r="O356" i="1"/>
  <c r="R354" i="1"/>
  <c r="R356" i="1" s="1"/>
  <c r="K354" i="1"/>
  <c r="K356" i="1" s="1"/>
  <c r="F354" i="1"/>
  <c r="F356" i="1" s="1"/>
  <c r="J345" i="1"/>
  <c r="R343" i="1"/>
  <c r="R345" i="1" s="1"/>
  <c r="K343" i="1"/>
  <c r="K345" i="1" s="1"/>
  <c r="O322" i="1"/>
  <c r="J324" i="1"/>
  <c r="J564" i="1"/>
  <c r="O564" i="1"/>
  <c r="K562" i="1"/>
  <c r="K564" i="1" s="1"/>
  <c r="R562" i="1"/>
  <c r="R564" i="1" s="1"/>
  <c r="J254" i="1"/>
  <c r="R252" i="1"/>
  <c r="R254" i="1" s="1"/>
  <c r="K252" i="1"/>
  <c r="K254" i="1" s="1"/>
  <c r="R241" i="1"/>
  <c r="R243" i="1" s="1"/>
  <c r="K241" i="1"/>
  <c r="K243" i="1" s="1"/>
  <c r="J243" i="1"/>
  <c r="J232" i="1"/>
  <c r="R230" i="1"/>
  <c r="R228" i="1"/>
  <c r="K230" i="1"/>
  <c r="K228" i="1"/>
  <c r="J219" i="1"/>
  <c r="R215" i="1"/>
  <c r="R217" i="1"/>
  <c r="R213" i="1"/>
  <c r="K215" i="1"/>
  <c r="K217" i="1"/>
  <c r="K213" i="1"/>
  <c r="F213" i="1"/>
  <c r="R190" i="1"/>
  <c r="R192" i="1" s="1"/>
  <c r="R194" i="1"/>
  <c r="R198" i="1"/>
  <c r="R200" i="1"/>
  <c r="R186" i="1"/>
  <c r="R188" i="1" s="1"/>
  <c r="O186" i="1"/>
  <c r="O188" i="1" s="1"/>
  <c r="K190" i="1"/>
  <c r="K192" i="1" s="1"/>
  <c r="K194" i="1"/>
  <c r="K198" i="1"/>
  <c r="K200" i="1"/>
  <c r="K186" i="1"/>
  <c r="K188" i="1" s="1"/>
  <c r="E186" i="1"/>
  <c r="F186" i="1" s="1"/>
  <c r="F188" i="1" s="1"/>
  <c r="R172" i="1"/>
  <c r="R174" i="1" s="1"/>
  <c r="J174" i="1"/>
  <c r="K172" i="1"/>
  <c r="K174" i="1" s="1"/>
  <c r="R146" i="1"/>
  <c r="R150" i="1"/>
  <c r="R152" i="1"/>
  <c r="R154" i="1"/>
  <c r="R158" i="1"/>
  <c r="R142" i="1"/>
  <c r="K146" i="1"/>
  <c r="K150" i="1"/>
  <c r="K152" i="1"/>
  <c r="K154" i="1"/>
  <c r="K158" i="1"/>
  <c r="K142" i="1"/>
  <c r="R130" i="1"/>
  <c r="R132" i="1" s="1"/>
  <c r="Q130" i="1"/>
  <c r="Q132" i="1" s="1"/>
  <c r="J132" i="1"/>
  <c r="K130" i="1"/>
  <c r="K132" i="1" s="1"/>
  <c r="T54" i="1"/>
  <c r="U54" i="1" s="1"/>
  <c r="V54" i="1" s="1"/>
  <c r="T56" i="1"/>
  <c r="T58" i="1"/>
  <c r="U58" i="1" s="1"/>
  <c r="V58" i="1" s="1"/>
  <c r="T60" i="1"/>
  <c r="T62" i="1"/>
  <c r="U62" i="1" s="1"/>
  <c r="V62" i="1" s="1"/>
  <c r="T64" i="1"/>
  <c r="T66" i="1"/>
  <c r="U66" i="1" s="1"/>
  <c r="V66" i="1" s="1"/>
  <c r="T68" i="1"/>
  <c r="T70" i="1"/>
  <c r="U70" i="1" s="1"/>
  <c r="V70" i="1" s="1"/>
  <c r="T72" i="1"/>
  <c r="T74" i="1"/>
  <c r="U74" i="1" s="1"/>
  <c r="V74" i="1" s="1"/>
  <c r="T76" i="1"/>
  <c r="U76" i="1" s="1"/>
  <c r="T78" i="1"/>
  <c r="U78" i="1" s="1"/>
  <c r="V78" i="1" s="1"/>
  <c r="T80" i="1"/>
  <c r="T82" i="1"/>
  <c r="U82" i="1" s="1"/>
  <c r="V82" i="1" s="1"/>
  <c r="T84" i="1"/>
  <c r="T86" i="1"/>
  <c r="U86" i="1" s="1"/>
  <c r="V86" i="1" s="1"/>
  <c r="T88" i="1"/>
  <c r="T90" i="1"/>
  <c r="U90" i="1" s="1"/>
  <c r="V90" i="1" s="1"/>
  <c r="T92" i="1"/>
  <c r="U92" i="1" s="1"/>
  <c r="T94" i="1"/>
  <c r="U94" i="1" s="1"/>
  <c r="V94" i="1" s="1"/>
  <c r="T96" i="1"/>
  <c r="T98" i="1"/>
  <c r="U98" i="1" s="1"/>
  <c r="V98" i="1" s="1"/>
  <c r="T100" i="1"/>
  <c r="T102" i="1"/>
  <c r="U102" i="1" s="1"/>
  <c r="V102" i="1" s="1"/>
  <c r="T104" i="1"/>
  <c r="U104" i="1" s="1"/>
  <c r="T106" i="1"/>
  <c r="U106" i="1" s="1"/>
  <c r="V106" i="1" s="1"/>
  <c r="T108" i="1"/>
  <c r="U108" i="1" s="1"/>
  <c r="T110" i="1"/>
  <c r="U110" i="1" s="1"/>
  <c r="V110" i="1" s="1"/>
  <c r="T112" i="1"/>
  <c r="T114" i="1"/>
  <c r="U114" i="1" s="1"/>
  <c r="V114" i="1" s="1"/>
  <c r="T116" i="1"/>
  <c r="T118" i="1"/>
  <c r="U118" i="1" s="1"/>
  <c r="V118" i="1" s="1"/>
  <c r="K57" i="1"/>
  <c r="K59" i="1"/>
  <c r="K61" i="1"/>
  <c r="K63" i="1"/>
  <c r="K65" i="1"/>
  <c r="K67" i="1"/>
  <c r="K71" i="1"/>
  <c r="K73" i="1"/>
  <c r="K75" i="1"/>
  <c r="K77" i="1"/>
  <c r="K79" i="1"/>
  <c r="K81" i="1"/>
  <c r="K83" i="1"/>
  <c r="K85" i="1"/>
  <c r="K87" i="1"/>
  <c r="K89" i="1"/>
  <c r="K91" i="1"/>
  <c r="K93" i="1"/>
  <c r="K95" i="1"/>
  <c r="K97" i="1"/>
  <c r="K99" i="1"/>
  <c r="K101" i="1"/>
  <c r="K103" i="1"/>
  <c r="K105" i="1"/>
  <c r="K107" i="1"/>
  <c r="K109" i="1"/>
  <c r="K111" i="1"/>
  <c r="K113" i="1"/>
  <c r="K115" i="1"/>
  <c r="K119" i="1"/>
  <c r="K53" i="1"/>
  <c r="F65" i="1"/>
  <c r="F67" i="1"/>
  <c r="F79" i="1"/>
  <c r="F105" i="1"/>
  <c r="F107" i="1"/>
  <c r="F115" i="1"/>
  <c r="F53" i="1"/>
  <c r="D22" i="1"/>
  <c r="F16" i="1"/>
  <c r="F38" i="1"/>
  <c r="F12" i="1"/>
  <c r="K14" i="1"/>
  <c r="K16" i="1"/>
  <c r="K20" i="1"/>
  <c r="K22" i="1"/>
  <c r="K24" i="1"/>
  <c r="K28" i="1"/>
  <c r="K30" i="1"/>
  <c r="K32" i="1"/>
  <c r="K34" i="1"/>
  <c r="K38" i="1"/>
  <c r="K40" i="1"/>
  <c r="K12" i="1"/>
  <c r="R57" i="1"/>
  <c r="R59" i="1"/>
  <c r="R61" i="1"/>
  <c r="R63" i="1"/>
  <c r="R65" i="1"/>
  <c r="R67" i="1"/>
  <c r="R71" i="1"/>
  <c r="R73" i="1"/>
  <c r="R75" i="1"/>
  <c r="R77" i="1"/>
  <c r="R79" i="1"/>
  <c r="R81" i="1"/>
  <c r="R83" i="1"/>
  <c r="R85" i="1"/>
  <c r="R87" i="1"/>
  <c r="R89" i="1"/>
  <c r="R91" i="1"/>
  <c r="R93" i="1"/>
  <c r="R95" i="1"/>
  <c r="R97" i="1"/>
  <c r="R99" i="1"/>
  <c r="R101" i="1"/>
  <c r="R103" i="1"/>
  <c r="R105" i="1"/>
  <c r="R107" i="1"/>
  <c r="R109" i="1"/>
  <c r="R111" i="1"/>
  <c r="R113" i="1"/>
  <c r="R115" i="1"/>
  <c r="R118" i="1"/>
  <c r="R14" i="1"/>
  <c r="R16" i="1"/>
  <c r="R20" i="1"/>
  <c r="R22" i="1"/>
  <c r="R24" i="1"/>
  <c r="R28" i="1"/>
  <c r="R30" i="1"/>
  <c r="R32" i="1"/>
  <c r="R34" i="1"/>
  <c r="R38" i="1"/>
  <c r="R40" i="1"/>
  <c r="R12" i="1"/>
  <c r="R53" i="1"/>
  <c r="T334" i="1" l="1"/>
  <c r="U332" i="1"/>
  <c r="E188" i="1"/>
  <c r="K485" i="1"/>
  <c r="R485" i="1"/>
  <c r="K306" i="1"/>
  <c r="R424" i="1"/>
  <c r="R430" i="1" s="1"/>
  <c r="R409" i="1"/>
  <c r="K424" i="1"/>
  <c r="K430" i="1" s="1"/>
  <c r="L420" i="1"/>
  <c r="M420" i="1"/>
  <c r="Q420" i="1"/>
  <c r="S420" i="1" s="1"/>
  <c r="K409" i="1"/>
  <c r="J430" i="1"/>
  <c r="R394" i="1"/>
  <c r="K394" i="1"/>
  <c r="R232" i="1"/>
  <c r="K219" i="1"/>
  <c r="R219" i="1"/>
  <c r="K232" i="1"/>
  <c r="U72" i="1"/>
  <c r="V72" i="1" s="1"/>
  <c r="U56" i="1"/>
  <c r="V56" i="1" s="1"/>
  <c r="U96" i="1"/>
  <c r="V96" i="1" s="1"/>
  <c r="V108" i="1"/>
  <c r="V92" i="1"/>
  <c r="V76" i="1"/>
  <c r="U68" i="1"/>
  <c r="V68" i="1" s="1"/>
  <c r="U60" i="1"/>
  <c r="V60" i="1" s="1"/>
  <c r="U88" i="1"/>
  <c r="V88" i="1" s="1"/>
  <c r="V104" i="1"/>
  <c r="U64" i="1"/>
  <c r="V64" i="1" s="1"/>
  <c r="U112" i="1"/>
  <c r="V112" i="1" s="1"/>
  <c r="U80" i="1"/>
  <c r="V80" i="1" s="1"/>
  <c r="U116" i="1"/>
  <c r="V116" i="1" s="1"/>
  <c r="U100" i="1"/>
  <c r="V100" i="1" s="1"/>
  <c r="U84" i="1"/>
  <c r="V84" i="1" s="1"/>
  <c r="E14" i="1"/>
  <c r="O22" i="1"/>
  <c r="N22" i="1"/>
  <c r="H22" i="1"/>
  <c r="I22" i="1" s="1"/>
  <c r="E22" i="1"/>
  <c r="V332" i="1" l="1"/>
  <c r="V334" i="1" s="1"/>
  <c r="U334" i="1"/>
  <c r="T420" i="1"/>
  <c r="U420" i="1" s="1"/>
  <c r="V420" i="1" s="1"/>
  <c r="F22" i="1"/>
  <c r="M22" i="1" s="1"/>
  <c r="L22" i="1"/>
  <c r="E18" i="1"/>
  <c r="F18" i="1" s="1"/>
  <c r="F14" i="1"/>
  <c r="Q22" i="1"/>
  <c r="P22" i="1"/>
  <c r="S22" i="1" l="1"/>
  <c r="T22" i="1" s="1"/>
  <c r="E190" i="1"/>
  <c r="F190" i="1" l="1"/>
  <c r="F192" i="1" s="1"/>
  <c r="E192" i="1"/>
  <c r="U22" i="1"/>
  <c r="V22" i="1" s="1"/>
  <c r="E200" i="1"/>
  <c r="F200" i="1" s="1"/>
  <c r="C35" i="2"/>
  <c r="C34" i="2"/>
  <c r="C33" i="2"/>
  <c r="F20" i="2"/>
  <c r="O198" i="1"/>
  <c r="E198" i="1"/>
  <c r="F198" i="1" s="1"/>
  <c r="O57" i="1"/>
  <c r="E57" i="1"/>
  <c r="F57" i="1" s="1"/>
  <c r="O77" i="1"/>
  <c r="E77" i="1"/>
  <c r="F77" i="1" s="1"/>
  <c r="O481" i="1"/>
  <c r="E481" i="1"/>
  <c r="O95" i="1"/>
  <c r="E95" i="1"/>
  <c r="F95" i="1" s="1"/>
  <c r="O113" i="1"/>
  <c r="E113" i="1"/>
  <c r="F113" i="1" s="1"/>
  <c r="E500" i="1"/>
  <c r="O500" i="1" s="1"/>
  <c r="O502" i="1" s="1"/>
  <c r="O470" i="1"/>
  <c r="O472" i="1" s="1"/>
  <c r="E470" i="1"/>
  <c r="O380" i="1"/>
  <c r="E380" i="1"/>
  <c r="F380" i="1" s="1"/>
  <c r="O267" i="1"/>
  <c r="E267" i="1"/>
  <c r="O109" i="1"/>
  <c r="E109" i="1"/>
  <c r="F109" i="1" s="1"/>
  <c r="O81" i="1"/>
  <c r="E81" i="1"/>
  <c r="F81" i="1" s="1"/>
  <c r="E510" i="1"/>
  <c r="E516" i="1"/>
  <c r="O40" i="1"/>
  <c r="E40" i="1"/>
  <c r="F40" i="1" s="1"/>
  <c r="O32" i="1"/>
  <c r="E32" i="1"/>
  <c r="F32" i="1" s="1"/>
  <c r="O111" i="1"/>
  <c r="E111" i="1"/>
  <c r="F111" i="1" s="1"/>
  <c r="O152" i="1"/>
  <c r="E152" i="1"/>
  <c r="F152" i="1" s="1"/>
  <c r="E28" i="1"/>
  <c r="F28" i="1" s="1"/>
  <c r="O28" i="1"/>
  <c r="O93" i="1"/>
  <c r="E93" i="1"/>
  <c r="F93" i="1" s="1"/>
  <c r="E504" i="1"/>
  <c r="O504" i="1" s="1"/>
  <c r="O382" i="1"/>
  <c r="E382" i="1"/>
  <c r="F382" i="1" s="1"/>
  <c r="O85" i="1"/>
  <c r="E85" i="1"/>
  <c r="F85" i="1" s="1"/>
  <c r="H506" i="1"/>
  <c r="E506" i="1"/>
  <c r="O217" i="1"/>
  <c r="E217" i="1"/>
  <c r="F217" i="1" s="1"/>
  <c r="O63" i="1"/>
  <c r="E63" i="1"/>
  <c r="F63" i="1" s="1"/>
  <c r="O34" i="1"/>
  <c r="E34" i="1"/>
  <c r="F34" i="1" s="1"/>
  <c r="O230" i="1"/>
  <c r="E230" i="1"/>
  <c r="F230" i="1" s="1"/>
  <c r="C304" i="1"/>
  <c r="D304" i="1" s="1"/>
  <c r="D306" i="1" s="1"/>
  <c r="E304" i="1"/>
  <c r="H304" i="1"/>
  <c r="N304" i="1"/>
  <c r="N306" i="1" s="1"/>
  <c r="O304" i="1"/>
  <c r="O306" i="1" s="1"/>
  <c r="J26" i="1"/>
  <c r="O26" i="1"/>
  <c r="J18" i="1"/>
  <c r="F506" i="1" l="1"/>
  <c r="O506" i="1"/>
  <c r="F510" i="1"/>
  <c r="O510" i="1"/>
  <c r="I506" i="1"/>
  <c r="R506" i="1"/>
  <c r="F516" i="1"/>
  <c r="O516" i="1"/>
  <c r="F504" i="1"/>
  <c r="F500" i="1"/>
  <c r="F502" i="1" s="1"/>
  <c r="E502" i="1"/>
  <c r="F267" i="1"/>
  <c r="F481" i="1"/>
  <c r="H306" i="1"/>
  <c r="Q304" i="1"/>
  <c r="Q306" i="1" s="1"/>
  <c r="I304" i="1"/>
  <c r="L304" i="1"/>
  <c r="L306" i="1" s="1"/>
  <c r="E306" i="1"/>
  <c r="F304" i="1"/>
  <c r="F306" i="1" s="1"/>
  <c r="F470" i="1"/>
  <c r="F472" i="1" s="1"/>
  <c r="E472" i="1"/>
  <c r="R26" i="1"/>
  <c r="K26" i="1"/>
  <c r="R18" i="1"/>
  <c r="K18" i="1"/>
  <c r="P304" i="1"/>
  <c r="C306" i="1"/>
  <c r="P306" i="1" l="1"/>
  <c r="S304" i="1"/>
  <c r="S306" i="1" s="1"/>
  <c r="I306" i="1"/>
  <c r="M304" i="1"/>
  <c r="M306" i="1" l="1"/>
  <c r="T304" i="1"/>
  <c r="T306" i="1" l="1"/>
  <c r="U304" i="1"/>
  <c r="U306" i="1" s="1"/>
  <c r="O324" i="1"/>
  <c r="E322" i="1"/>
  <c r="E324" i="1" s="1"/>
  <c r="O154" i="1"/>
  <c r="E154" i="1"/>
  <c r="F154" i="1" s="1"/>
  <c r="O388" i="1"/>
  <c r="E388" i="1"/>
  <c r="F388" i="1" s="1"/>
  <c r="O75" i="1"/>
  <c r="E75" i="1"/>
  <c r="F75" i="1" s="1"/>
  <c r="O97" i="1"/>
  <c r="E97" i="1"/>
  <c r="F97" i="1" s="1"/>
  <c r="O290" i="1"/>
  <c r="O294" i="1" s="1"/>
  <c r="E290" i="1"/>
  <c r="E294" i="1" l="1"/>
  <c r="F290" i="1"/>
  <c r="F294" i="1" s="1"/>
  <c r="V304" i="1"/>
  <c r="V306" i="1" s="1"/>
  <c r="F322" i="1"/>
  <c r="O252" i="1"/>
  <c r="O254" i="1" s="1"/>
  <c r="O61" i="1"/>
  <c r="O18" i="1"/>
  <c r="E252" i="1"/>
  <c r="J267" i="1"/>
  <c r="J283" i="1"/>
  <c r="J287" i="1" s="1"/>
  <c r="O228" i="1"/>
  <c r="O232" i="1" s="1"/>
  <c r="O190" i="1"/>
  <c r="O192" i="1" s="1"/>
  <c r="E228" i="1"/>
  <c r="H562" i="1"/>
  <c r="C562" i="1"/>
  <c r="N562" i="1"/>
  <c r="E562" i="1"/>
  <c r="F24" i="2"/>
  <c r="B51" i="2"/>
  <c r="E496" i="1"/>
  <c r="B50" i="2"/>
  <c r="E514" i="1"/>
  <c r="O514" i="1" s="1"/>
  <c r="O518" i="1" s="1"/>
  <c r="B49" i="2"/>
  <c r="D45" i="2"/>
  <c r="F45" i="2"/>
  <c r="G45" i="2"/>
  <c r="E45" i="2"/>
  <c r="C45" i="2"/>
  <c r="B45" i="2"/>
  <c r="F496" i="1" l="1"/>
  <c r="O496" i="1"/>
  <c r="F514" i="1"/>
  <c r="F518" i="1" s="1"/>
  <c r="E518" i="1"/>
  <c r="R267" i="1"/>
  <c r="R271" i="1" s="1"/>
  <c r="K267" i="1"/>
  <c r="K271" i="1" s="1"/>
  <c r="J271" i="1"/>
  <c r="K283" i="1"/>
  <c r="K287" i="1" s="1"/>
  <c r="R283" i="1"/>
  <c r="R287" i="1" s="1"/>
  <c r="F324" i="1"/>
  <c r="R322" i="1"/>
  <c r="K322" i="1"/>
  <c r="D562" i="1"/>
  <c r="L562" i="1"/>
  <c r="L564" i="1" s="1"/>
  <c r="P562" i="1"/>
  <c r="N564" i="1"/>
  <c r="I562" i="1"/>
  <c r="I564" i="1" s="1"/>
  <c r="H564" i="1"/>
  <c r="Q562" i="1"/>
  <c r="Q564" i="1" s="1"/>
  <c r="F252" i="1"/>
  <c r="F254" i="1" s="1"/>
  <c r="E254" i="1"/>
  <c r="F562" i="1"/>
  <c r="F564" i="1" s="1"/>
  <c r="E564" i="1"/>
  <c r="F228" i="1"/>
  <c r="F232" i="1" s="1"/>
  <c r="E232" i="1"/>
  <c r="C564" i="1"/>
  <c r="F23" i="2"/>
  <c r="F22" i="2"/>
  <c r="F21" i="2"/>
  <c r="H89" i="1"/>
  <c r="H61" i="1"/>
  <c r="H85" i="1"/>
  <c r="O426" i="1"/>
  <c r="O428" i="1" s="1"/>
  <c r="N483" i="1"/>
  <c r="N228" i="1"/>
  <c r="E142" i="1"/>
  <c r="F142" i="1" s="1"/>
  <c r="C483" i="1"/>
  <c r="C20" i="1"/>
  <c r="C228" i="1"/>
  <c r="H483" i="1"/>
  <c r="H20" i="1"/>
  <c r="E20" i="1"/>
  <c r="F20" i="1" s="1"/>
  <c r="O99" i="1"/>
  <c r="O89" i="1"/>
  <c r="E89" i="1"/>
  <c r="F89" i="1" s="1"/>
  <c r="O103" i="1"/>
  <c r="N279" i="1"/>
  <c r="P279" i="1" s="1"/>
  <c r="R296" i="1" l="1"/>
  <c r="K296" i="1"/>
  <c r="J296" i="1"/>
  <c r="R324" i="1"/>
  <c r="K324" i="1"/>
  <c r="D483" i="1"/>
  <c r="I483" i="1"/>
  <c r="Q483" i="1"/>
  <c r="S562" i="1"/>
  <c r="S564" i="1" s="1"/>
  <c r="P564" i="1"/>
  <c r="D564" i="1"/>
  <c r="M562" i="1"/>
  <c r="D228" i="1"/>
  <c r="Q61" i="1"/>
  <c r="I61" i="1"/>
  <c r="Q85" i="1"/>
  <c r="I85" i="1"/>
  <c r="Q89" i="1"/>
  <c r="I89" i="1"/>
  <c r="D20" i="1"/>
  <c r="L20" i="1"/>
  <c r="Q40" i="1"/>
  <c r="I40" i="1"/>
  <c r="Q20" i="1"/>
  <c r="I20" i="1"/>
  <c r="O146" i="1"/>
  <c r="O374" i="1"/>
  <c r="O376" i="1" s="1"/>
  <c r="O241" i="1"/>
  <c r="O243" i="1" s="1"/>
  <c r="O275" i="1"/>
  <c r="O287" i="1" s="1"/>
  <c r="O405" i="1"/>
  <c r="O172" i="1"/>
  <c r="O174" i="1" s="1"/>
  <c r="E101" i="1"/>
  <c r="F101" i="1" s="1"/>
  <c r="E91" i="1"/>
  <c r="F91" i="1" s="1"/>
  <c r="E30" i="1"/>
  <c r="F30" i="1" s="1"/>
  <c r="E194" i="1"/>
  <c r="F194" i="1" s="1"/>
  <c r="O194" i="1"/>
  <c r="O30" i="1"/>
  <c r="O91" i="1"/>
  <c r="O101" i="1"/>
  <c r="O73" i="1"/>
  <c r="N20" i="1"/>
  <c r="E483" i="1"/>
  <c r="L483" i="1" s="1"/>
  <c r="E71" i="1"/>
  <c r="F71" i="1" s="1"/>
  <c r="E158" i="1"/>
  <c r="F158" i="1" s="1"/>
  <c r="E343" i="1"/>
  <c r="E59" i="1"/>
  <c r="F59" i="1" s="1"/>
  <c r="E422" i="1"/>
  <c r="F422" i="1" s="1"/>
  <c r="O448" i="1"/>
  <c r="O450" i="1" s="1"/>
  <c r="O142" i="1"/>
  <c r="O215" i="1"/>
  <c r="O219" i="1" s="1"/>
  <c r="O343" i="1"/>
  <c r="O345" i="1" s="1"/>
  <c r="O59" i="1"/>
  <c r="O422" i="1"/>
  <c r="O71" i="1"/>
  <c r="O158" i="1"/>
  <c r="E405" i="1"/>
  <c r="E146" i="1"/>
  <c r="F146" i="1" s="1"/>
  <c r="E374" i="1"/>
  <c r="E376" i="1" s="1"/>
  <c r="E241" i="1"/>
  <c r="E275" i="1"/>
  <c r="E287" i="1" s="1"/>
  <c r="O200" i="1"/>
  <c r="O460" i="1"/>
  <c r="O462" i="1" s="1"/>
  <c r="O483" i="1"/>
  <c r="O438" i="1"/>
  <c r="O440" i="1" s="1"/>
  <c r="O418" i="1"/>
  <c r="N24" i="1"/>
  <c r="P24" i="1" s="1"/>
  <c r="E24" i="1"/>
  <c r="O424" i="1" l="1"/>
  <c r="O430" i="1" s="1"/>
  <c r="F275" i="1"/>
  <c r="F287" i="1" s="1"/>
  <c r="F483" i="1"/>
  <c r="F485" i="1" s="1"/>
  <c r="E485" i="1"/>
  <c r="P483" i="1"/>
  <c r="S483" i="1" s="1"/>
  <c r="O485" i="1"/>
  <c r="F405" i="1"/>
  <c r="F374" i="1"/>
  <c r="F376" i="1" s="1"/>
  <c r="E345" i="1"/>
  <c r="F343" i="1"/>
  <c r="F345" i="1" s="1"/>
  <c r="M564" i="1"/>
  <c r="T562" i="1"/>
  <c r="F241" i="1"/>
  <c r="F243" i="1" s="1"/>
  <c r="E243" i="1"/>
  <c r="M20" i="1"/>
  <c r="E26" i="1"/>
  <c r="F26" i="1" s="1"/>
  <c r="F24" i="1"/>
  <c r="P20" i="1"/>
  <c r="S20" i="1" s="1"/>
  <c r="N26" i="1"/>
  <c r="C522" i="1"/>
  <c r="N522" i="1" s="1"/>
  <c r="P522" i="1" s="1"/>
  <c r="H500" i="1"/>
  <c r="R500" i="1" s="1"/>
  <c r="R502" i="1" s="1"/>
  <c r="C500" i="1"/>
  <c r="N500" i="1" s="1"/>
  <c r="M483" i="1" l="1"/>
  <c r="P500" i="1"/>
  <c r="S500" i="1" s="1"/>
  <c r="S502" i="1" s="1"/>
  <c r="N502" i="1"/>
  <c r="P502" i="1" s="1"/>
  <c r="I500" i="1"/>
  <c r="I502" i="1" s="1"/>
  <c r="H502" i="1"/>
  <c r="D500" i="1"/>
  <c r="L500" i="1"/>
  <c r="L502" i="1" s="1"/>
  <c r="D522" i="1"/>
  <c r="T483" i="1"/>
  <c r="U483" i="1" s="1"/>
  <c r="T564" i="1"/>
  <c r="U562" i="1"/>
  <c r="U564" i="1" s="1"/>
  <c r="T20" i="1"/>
  <c r="P26" i="1"/>
  <c r="E494" i="1"/>
  <c r="O494" i="1" s="1"/>
  <c r="O498" i="1" s="1"/>
  <c r="E520" i="1"/>
  <c r="O520" i="1" s="1"/>
  <c r="O524" i="1" s="1"/>
  <c r="O526" i="1" l="1"/>
  <c r="F494" i="1"/>
  <c r="F498" i="1" s="1"/>
  <c r="E498" i="1"/>
  <c r="M500" i="1"/>
  <c r="D502" i="1"/>
  <c r="F520" i="1"/>
  <c r="F524" i="1" s="1"/>
  <c r="E524" i="1"/>
  <c r="V483" i="1"/>
  <c r="V562" i="1"/>
  <c r="V564" i="1" s="1"/>
  <c r="U20" i="1"/>
  <c r="V20" i="1" s="1"/>
  <c r="H279" i="1"/>
  <c r="E448" i="1"/>
  <c r="C279" i="1"/>
  <c r="F526" i="1" l="1"/>
  <c r="E526" i="1"/>
  <c r="M502" i="1"/>
  <c r="T502" i="1" s="1"/>
  <c r="T500" i="1"/>
  <c r="U500" i="1" s="1"/>
  <c r="U502" i="1" s="1"/>
  <c r="Q279" i="1"/>
  <c r="S279" i="1" s="1"/>
  <c r="I279" i="1"/>
  <c r="L279" i="1"/>
  <c r="D279" i="1"/>
  <c r="F448" i="1"/>
  <c r="F450" i="1" s="1"/>
  <c r="E450" i="1"/>
  <c r="C24" i="1"/>
  <c r="H24" i="1"/>
  <c r="H228" i="1"/>
  <c r="E87" i="1"/>
  <c r="F87" i="1" s="1"/>
  <c r="E61" i="1"/>
  <c r="F61" i="1" s="1"/>
  <c r="E103" i="1"/>
  <c r="F103" i="1" s="1"/>
  <c r="E99" i="1"/>
  <c r="F99" i="1" s="1"/>
  <c r="E73" i="1"/>
  <c r="F73" i="1" s="1"/>
  <c r="H481" i="1"/>
  <c r="E438" i="1"/>
  <c r="E215" i="1"/>
  <c r="E418" i="1"/>
  <c r="E460" i="1"/>
  <c r="E426" i="1"/>
  <c r="E172" i="1"/>
  <c r="O150" i="1"/>
  <c r="O364" i="1"/>
  <c r="O366" i="1" s="1"/>
  <c r="O269" i="1"/>
  <c r="O271" i="1" s="1"/>
  <c r="O296" i="1" s="1"/>
  <c r="O407" i="1"/>
  <c r="O409" i="1" s="1"/>
  <c r="V500" i="1" l="1"/>
  <c r="V502" i="1" s="1"/>
  <c r="M279" i="1"/>
  <c r="T279" i="1" s="1"/>
  <c r="U279" i="1" s="1"/>
  <c r="V279" i="1" s="1"/>
  <c r="Q481" i="1"/>
  <c r="Q485" i="1" s="1"/>
  <c r="I481" i="1"/>
  <c r="I485" i="1" s="1"/>
  <c r="H485" i="1"/>
  <c r="F460" i="1"/>
  <c r="F462" i="1" s="1"/>
  <c r="E462" i="1"/>
  <c r="F438" i="1"/>
  <c r="F440" i="1" s="1"/>
  <c r="E440" i="1"/>
  <c r="F418" i="1"/>
  <c r="F424" i="1" s="1"/>
  <c r="E424" i="1"/>
  <c r="E428" i="1"/>
  <c r="F426" i="1"/>
  <c r="F428" i="1" s="1"/>
  <c r="Q228" i="1"/>
  <c r="I228" i="1"/>
  <c r="L228" i="1"/>
  <c r="E219" i="1"/>
  <c r="F215" i="1"/>
  <c r="F219" i="1" s="1"/>
  <c r="F172" i="1"/>
  <c r="F174" i="1" s="1"/>
  <c r="E174" i="1"/>
  <c r="D24" i="1"/>
  <c r="L24" i="1"/>
  <c r="Q24" i="1"/>
  <c r="S24" i="1" s="1"/>
  <c r="I24" i="1"/>
  <c r="H26" i="1"/>
  <c r="C26" i="1"/>
  <c r="N113" i="1"/>
  <c r="P113" i="1" s="1"/>
  <c r="E430" i="1" l="1"/>
  <c r="F430" i="1"/>
  <c r="M228" i="1"/>
  <c r="L26" i="1"/>
  <c r="D26" i="1"/>
  <c r="M24" i="1"/>
  <c r="T24" i="1" s="1"/>
  <c r="Q26" i="1"/>
  <c r="S26" i="1" s="1"/>
  <c r="I26" i="1"/>
  <c r="O130" i="1"/>
  <c r="N405" i="1"/>
  <c r="U24" i="1" l="1"/>
  <c r="V24" i="1" s="1"/>
  <c r="M26" i="1"/>
  <c r="T26" i="1" s="1"/>
  <c r="P405" i="1"/>
  <c r="N418" i="1"/>
  <c r="P418" i="1" l="1"/>
  <c r="U26" i="1"/>
  <c r="V26" i="1" s="1"/>
  <c r="H522" i="1" l="1"/>
  <c r="R522" i="1" s="1"/>
  <c r="S522" i="1" s="1"/>
  <c r="H520" i="1"/>
  <c r="R520" i="1" s="1"/>
  <c r="C520" i="1"/>
  <c r="N520" i="1" s="1"/>
  <c r="C516" i="1"/>
  <c r="N516" i="1" s="1"/>
  <c r="P516" i="1" s="1"/>
  <c r="C514" i="1"/>
  <c r="N514" i="1" s="1"/>
  <c r="P514" i="1" s="1"/>
  <c r="C512" i="1"/>
  <c r="N512" i="1" s="1"/>
  <c r="P512" i="1" s="1"/>
  <c r="C510" i="1"/>
  <c r="N510" i="1" s="1"/>
  <c r="P510" i="1" s="1"/>
  <c r="C508" i="1"/>
  <c r="N508" i="1" s="1"/>
  <c r="P508" i="1" s="1"/>
  <c r="C506" i="1"/>
  <c r="N506" i="1" s="1"/>
  <c r="P506" i="1" s="1"/>
  <c r="S506" i="1" s="1"/>
  <c r="C504" i="1"/>
  <c r="N504" i="1" s="1"/>
  <c r="H516" i="1"/>
  <c r="H514" i="1"/>
  <c r="H512" i="1"/>
  <c r="H510" i="1"/>
  <c r="H508" i="1"/>
  <c r="H504" i="1"/>
  <c r="R504" i="1" s="1"/>
  <c r="H494" i="1"/>
  <c r="R494" i="1" s="1"/>
  <c r="H496" i="1"/>
  <c r="C496" i="1"/>
  <c r="N496" i="1" s="1"/>
  <c r="P496" i="1" s="1"/>
  <c r="C494" i="1"/>
  <c r="N494" i="1" s="1"/>
  <c r="R524" i="1" l="1"/>
  <c r="P494" i="1"/>
  <c r="S494" i="1" s="1"/>
  <c r="N498" i="1"/>
  <c r="I514" i="1"/>
  <c r="R514" i="1"/>
  <c r="S514" i="1" s="1"/>
  <c r="N524" i="1"/>
  <c r="P524" i="1" s="1"/>
  <c r="P520" i="1"/>
  <c r="S520" i="1" s="1"/>
  <c r="S524" i="1" s="1"/>
  <c r="I496" i="1"/>
  <c r="R496" i="1"/>
  <c r="S496" i="1" s="1"/>
  <c r="I510" i="1"/>
  <c r="R510" i="1"/>
  <c r="S510" i="1" s="1"/>
  <c r="N518" i="1"/>
  <c r="P518" i="1" s="1"/>
  <c r="P504" i="1"/>
  <c r="S504" i="1" s="1"/>
  <c r="I508" i="1"/>
  <c r="R508" i="1"/>
  <c r="S508" i="1" s="1"/>
  <c r="I516" i="1"/>
  <c r="R516" i="1"/>
  <c r="S516" i="1" s="1"/>
  <c r="R498" i="1"/>
  <c r="I512" i="1"/>
  <c r="R512" i="1"/>
  <c r="S512" i="1" s="1"/>
  <c r="I504" i="1"/>
  <c r="H518" i="1"/>
  <c r="I520" i="1"/>
  <c r="H524" i="1"/>
  <c r="I494" i="1"/>
  <c r="H498" i="1"/>
  <c r="D516" i="1"/>
  <c r="L516" i="1"/>
  <c r="D496" i="1"/>
  <c r="L496" i="1"/>
  <c r="D510" i="1"/>
  <c r="L510" i="1"/>
  <c r="D520" i="1"/>
  <c r="L520" i="1"/>
  <c r="D512" i="1"/>
  <c r="L512" i="1"/>
  <c r="D508" i="1"/>
  <c r="L508" i="1"/>
  <c r="D504" i="1"/>
  <c r="L504" i="1"/>
  <c r="L506" i="1"/>
  <c r="D514" i="1"/>
  <c r="L514" i="1"/>
  <c r="I522" i="1"/>
  <c r="M522" i="1" s="1"/>
  <c r="T522" i="1" s="1"/>
  <c r="L522" i="1"/>
  <c r="L494" i="1"/>
  <c r="D494" i="1"/>
  <c r="D506" i="1"/>
  <c r="M506" i="1" s="1"/>
  <c r="T506" i="1" s="1"/>
  <c r="N292" i="1"/>
  <c r="P292" i="1" s="1"/>
  <c r="N290" i="1"/>
  <c r="N267" i="1"/>
  <c r="N269" i="1"/>
  <c r="P269" i="1" s="1"/>
  <c r="N283" i="1"/>
  <c r="P283" i="1" s="1"/>
  <c r="N275" i="1"/>
  <c r="N277" i="1"/>
  <c r="P277" i="1" s="1"/>
  <c r="N281" i="1"/>
  <c r="P281" i="1" s="1"/>
  <c r="N273" i="1"/>
  <c r="O378" i="1"/>
  <c r="O394" i="1" s="1"/>
  <c r="O148" i="1"/>
  <c r="O87" i="1"/>
  <c r="O83" i="1"/>
  <c r="N130" i="1"/>
  <c r="N172" i="1"/>
  <c r="N174" i="1" s="1"/>
  <c r="N354" i="1"/>
  <c r="N356" i="1" s="1"/>
  <c r="N364" i="1"/>
  <c r="N366" i="1" s="1"/>
  <c r="N426" i="1"/>
  <c r="N428" i="1" s="1"/>
  <c r="N470" i="1"/>
  <c r="N472" i="1" s="1"/>
  <c r="N67" i="1"/>
  <c r="N65" i="1"/>
  <c r="N63" i="1"/>
  <c r="N61" i="1"/>
  <c r="N59" i="1"/>
  <c r="N57" i="1"/>
  <c r="N481" i="1"/>
  <c r="N485" i="1" s="1"/>
  <c r="N460" i="1"/>
  <c r="N462" i="1" s="1"/>
  <c r="N438" i="1"/>
  <c r="N440" i="1" s="1"/>
  <c r="N422" i="1"/>
  <c r="N424" i="1" s="1"/>
  <c r="N343" i="1"/>
  <c r="N322" i="1"/>
  <c r="N324" i="1" s="1"/>
  <c r="N252" i="1"/>
  <c r="N254" i="1" s="1"/>
  <c r="N217" i="1"/>
  <c r="N200" i="1"/>
  <c r="N198" i="1"/>
  <c r="N158" i="1"/>
  <c r="P158" i="1" s="1"/>
  <c r="N40" i="1"/>
  <c r="N38" i="1"/>
  <c r="N407" i="1"/>
  <c r="N409" i="1" s="1"/>
  <c r="N392" i="1"/>
  <c r="N390" i="1"/>
  <c r="N388" i="1"/>
  <c r="N386" i="1"/>
  <c r="N384" i="1"/>
  <c r="N382" i="1"/>
  <c r="N380" i="1"/>
  <c r="N378" i="1"/>
  <c r="N230" i="1"/>
  <c r="N232" i="1" s="1"/>
  <c r="N215" i="1"/>
  <c r="N194" i="1"/>
  <c r="N154" i="1"/>
  <c r="P154" i="1" s="1"/>
  <c r="N152" i="1"/>
  <c r="P152" i="1" s="1"/>
  <c r="N150" i="1"/>
  <c r="P150" i="1" s="1"/>
  <c r="N115" i="1"/>
  <c r="N75" i="1"/>
  <c r="N111" i="1"/>
  <c r="N109" i="1"/>
  <c r="N107" i="1"/>
  <c r="N105" i="1"/>
  <c r="N103" i="1"/>
  <c r="N101" i="1"/>
  <c r="N99" i="1"/>
  <c r="N97" i="1"/>
  <c r="N95" i="1"/>
  <c r="N93" i="1"/>
  <c r="N91" i="1"/>
  <c r="N89" i="1"/>
  <c r="N87" i="1"/>
  <c r="N85" i="1"/>
  <c r="N83" i="1"/>
  <c r="N81" i="1"/>
  <c r="N79" i="1"/>
  <c r="N77" i="1"/>
  <c r="N73" i="1"/>
  <c r="N71" i="1"/>
  <c r="N34" i="1"/>
  <c r="N32" i="1"/>
  <c r="N30" i="1"/>
  <c r="N28" i="1"/>
  <c r="N374" i="1"/>
  <c r="N376" i="1" s="1"/>
  <c r="N241" i="1"/>
  <c r="N243" i="1" s="1"/>
  <c r="N146" i="1"/>
  <c r="P146" i="1" s="1"/>
  <c r="N53" i="1"/>
  <c r="N448" i="1"/>
  <c r="N450" i="1" s="1"/>
  <c r="N213" i="1"/>
  <c r="N186" i="1"/>
  <c r="N188" i="1" s="1"/>
  <c r="N142" i="1"/>
  <c r="P142" i="1" s="1"/>
  <c r="N16" i="1"/>
  <c r="N14" i="1"/>
  <c r="N12" i="1"/>
  <c r="M508" i="1" l="1"/>
  <c r="N287" i="1"/>
  <c r="M516" i="1"/>
  <c r="N219" i="1"/>
  <c r="L498" i="1"/>
  <c r="M496" i="1"/>
  <c r="I498" i="1"/>
  <c r="I518" i="1"/>
  <c r="T508" i="1"/>
  <c r="S518" i="1"/>
  <c r="R518" i="1"/>
  <c r="M512" i="1"/>
  <c r="T512" i="1" s="1"/>
  <c r="M510" i="1"/>
  <c r="T510" i="1" s="1"/>
  <c r="T516" i="1"/>
  <c r="N526" i="1"/>
  <c r="P498" i="1"/>
  <c r="P526" i="1" s="1"/>
  <c r="T496" i="1"/>
  <c r="U496" i="1" s="1"/>
  <c r="V496" i="1" s="1"/>
  <c r="L518" i="1"/>
  <c r="R526" i="1"/>
  <c r="M514" i="1"/>
  <c r="T514" i="1" s="1"/>
  <c r="U514" i="1" s="1"/>
  <c r="V514" i="1" s="1"/>
  <c r="H526" i="1"/>
  <c r="S498" i="1"/>
  <c r="L524" i="1"/>
  <c r="I524" i="1"/>
  <c r="M494" i="1"/>
  <c r="D498" i="1"/>
  <c r="M504" i="1"/>
  <c r="D518" i="1"/>
  <c r="M520" i="1"/>
  <c r="D524" i="1"/>
  <c r="U506" i="1"/>
  <c r="V506" i="1" s="1"/>
  <c r="U508" i="1"/>
  <c r="V508" i="1" s="1"/>
  <c r="P267" i="1"/>
  <c r="N271" i="1"/>
  <c r="P290" i="1"/>
  <c r="N294" i="1"/>
  <c r="P273" i="1"/>
  <c r="P287" i="1" s="1"/>
  <c r="N430" i="1"/>
  <c r="N394" i="1"/>
  <c r="P343" i="1"/>
  <c r="N345" i="1"/>
  <c r="N132" i="1"/>
  <c r="N18" i="1"/>
  <c r="P275" i="1"/>
  <c r="H405" i="1"/>
  <c r="H111" i="1"/>
  <c r="E364" i="1"/>
  <c r="C418" i="1"/>
  <c r="C113" i="1"/>
  <c r="C405" i="1"/>
  <c r="I526" i="1" l="1"/>
  <c r="M518" i="1"/>
  <c r="T518" i="1" s="1"/>
  <c r="T504" i="1"/>
  <c r="D526" i="1"/>
  <c r="L526" i="1"/>
  <c r="M524" i="1"/>
  <c r="T524" i="1" s="1"/>
  <c r="T520" i="1"/>
  <c r="U520" i="1" s="1"/>
  <c r="M498" i="1"/>
  <c r="T498" i="1" s="1"/>
  <c r="T494" i="1"/>
  <c r="S526" i="1"/>
  <c r="U516" i="1"/>
  <c r="V516" i="1" s="1"/>
  <c r="U512" i="1"/>
  <c r="V512" i="1" s="1"/>
  <c r="U510" i="1"/>
  <c r="V510" i="1" s="1"/>
  <c r="U504" i="1"/>
  <c r="U522" i="1"/>
  <c r="V522" i="1" s="1"/>
  <c r="N296" i="1"/>
  <c r="P294" i="1"/>
  <c r="P271" i="1"/>
  <c r="D418" i="1"/>
  <c r="L405" i="1"/>
  <c r="D405" i="1"/>
  <c r="Q405" i="1"/>
  <c r="I405" i="1"/>
  <c r="E366" i="1"/>
  <c r="F364" i="1"/>
  <c r="F366" i="1" s="1"/>
  <c r="P345" i="1"/>
  <c r="D113" i="1"/>
  <c r="Q111" i="1"/>
  <c r="I111" i="1"/>
  <c r="Q53" i="1"/>
  <c r="E150" i="1"/>
  <c r="F150" i="1" s="1"/>
  <c r="E407" i="1"/>
  <c r="C213" i="1"/>
  <c r="C142" i="1"/>
  <c r="C16" i="1"/>
  <c r="C186" i="1"/>
  <c r="C188" i="1" s="1"/>
  <c r="C12" i="1"/>
  <c r="C14" i="1"/>
  <c r="C448" i="1"/>
  <c r="E269" i="1"/>
  <c r="H113" i="1"/>
  <c r="I113" i="1" s="1"/>
  <c r="H418" i="1"/>
  <c r="H292" i="1"/>
  <c r="H290" i="1"/>
  <c r="C277" i="1"/>
  <c r="C275" i="1"/>
  <c r="C283" i="1"/>
  <c r="C273" i="1"/>
  <c r="C281" i="1"/>
  <c r="C374" i="1"/>
  <c r="C241" i="1"/>
  <c r="C146" i="1"/>
  <c r="C53" i="1"/>
  <c r="H215" i="1"/>
  <c r="H30" i="1"/>
  <c r="H152" i="1"/>
  <c r="H230" i="1"/>
  <c r="H28" i="1"/>
  <c r="H77" i="1"/>
  <c r="H194" i="1"/>
  <c r="H32" i="1"/>
  <c r="H407" i="1"/>
  <c r="H409" i="1" s="1"/>
  <c r="H34" i="1"/>
  <c r="H150" i="1"/>
  <c r="H267" i="1"/>
  <c r="H269" i="1"/>
  <c r="H448" i="1"/>
  <c r="H14" i="1"/>
  <c r="H142" i="1"/>
  <c r="H16" i="1"/>
  <c r="I16" i="1" s="1"/>
  <c r="C460" i="1"/>
  <c r="C198" i="1"/>
  <c r="C343" i="1"/>
  <c r="C40" i="1"/>
  <c r="C438" i="1"/>
  <c r="C252" i="1"/>
  <c r="C158" i="1"/>
  <c r="C422" i="1"/>
  <c r="C424" i="1" s="1"/>
  <c r="C217" i="1"/>
  <c r="C322" i="1"/>
  <c r="C324" i="1" s="1"/>
  <c r="C200" i="1"/>
  <c r="C38" i="1"/>
  <c r="C481" i="1"/>
  <c r="H146" i="1"/>
  <c r="E130" i="1"/>
  <c r="C267" i="1"/>
  <c r="C269" i="1"/>
  <c r="C292" i="1"/>
  <c r="C290" i="1"/>
  <c r="C407" i="1"/>
  <c r="C409" i="1" s="1"/>
  <c r="C390" i="1"/>
  <c r="C382" i="1"/>
  <c r="C215" i="1"/>
  <c r="C150" i="1"/>
  <c r="C111" i="1"/>
  <c r="C103" i="1"/>
  <c r="C95" i="1"/>
  <c r="C87" i="1"/>
  <c r="C79" i="1"/>
  <c r="C71" i="1"/>
  <c r="C28" i="1"/>
  <c r="C386" i="1"/>
  <c r="C154" i="1"/>
  <c r="C91" i="1"/>
  <c r="C32" i="1"/>
  <c r="C388" i="1"/>
  <c r="C380" i="1"/>
  <c r="C194" i="1"/>
  <c r="C109" i="1"/>
  <c r="C101" i="1"/>
  <c r="C93" i="1"/>
  <c r="C85" i="1"/>
  <c r="C77" i="1"/>
  <c r="C30" i="1"/>
  <c r="C378" i="1"/>
  <c r="C115" i="1"/>
  <c r="C107" i="1"/>
  <c r="C99" i="1"/>
  <c r="C83" i="1"/>
  <c r="C384" i="1"/>
  <c r="C75" i="1"/>
  <c r="C81" i="1"/>
  <c r="C73" i="1"/>
  <c r="C152" i="1"/>
  <c r="C97" i="1"/>
  <c r="C89" i="1"/>
  <c r="C230" i="1"/>
  <c r="C105" i="1"/>
  <c r="C34" i="1"/>
  <c r="C392" i="1"/>
  <c r="C67" i="1"/>
  <c r="C59" i="1"/>
  <c r="C65" i="1"/>
  <c r="C57" i="1"/>
  <c r="C63" i="1"/>
  <c r="C61" i="1"/>
  <c r="H422" i="1"/>
  <c r="H386" i="1"/>
  <c r="H378" i="1"/>
  <c r="H103" i="1"/>
  <c r="H95" i="1"/>
  <c r="H392" i="1"/>
  <c r="H384" i="1"/>
  <c r="H154" i="1"/>
  <c r="H109" i="1"/>
  <c r="H101" i="1"/>
  <c r="H93" i="1"/>
  <c r="H83" i="1"/>
  <c r="H73" i="1"/>
  <c r="H388" i="1"/>
  <c r="H322" i="1"/>
  <c r="H105" i="1"/>
  <c r="H460" i="1"/>
  <c r="H390" i="1"/>
  <c r="H382" i="1"/>
  <c r="H343" i="1"/>
  <c r="H115" i="1"/>
  <c r="H107" i="1"/>
  <c r="H99" i="1"/>
  <c r="H91" i="1"/>
  <c r="H81" i="1"/>
  <c r="H71" i="1"/>
  <c r="H438" i="1"/>
  <c r="H380" i="1"/>
  <c r="H75" i="1"/>
  <c r="H97" i="1"/>
  <c r="H79" i="1"/>
  <c r="E378" i="1"/>
  <c r="E83" i="1"/>
  <c r="F83" i="1" s="1"/>
  <c r="C354" i="1"/>
  <c r="C426" i="1"/>
  <c r="C130" i="1"/>
  <c r="C470" i="1"/>
  <c r="C172" i="1"/>
  <c r="C364" i="1"/>
  <c r="H470" i="1"/>
  <c r="H354" i="1"/>
  <c r="H426" i="1"/>
  <c r="H364" i="1"/>
  <c r="H130" i="1"/>
  <c r="H172" i="1"/>
  <c r="H217" i="1"/>
  <c r="H87" i="1"/>
  <c r="H200" i="1"/>
  <c r="H67" i="1"/>
  <c r="H59" i="1"/>
  <c r="H158" i="1"/>
  <c r="H198" i="1"/>
  <c r="H65" i="1"/>
  <c r="H57" i="1"/>
  <c r="H252" i="1"/>
  <c r="H63" i="1"/>
  <c r="H38" i="1"/>
  <c r="H374" i="1"/>
  <c r="H376" i="1" s="1"/>
  <c r="H277" i="1"/>
  <c r="H283" i="1"/>
  <c r="H273" i="1"/>
  <c r="H281" i="1"/>
  <c r="H275" i="1"/>
  <c r="H241" i="1"/>
  <c r="H213" i="1"/>
  <c r="H186" i="1"/>
  <c r="H188" i="1" s="1"/>
  <c r="H12" i="1"/>
  <c r="I12" i="1" s="1"/>
  <c r="H287" i="1" l="1"/>
  <c r="C287" i="1"/>
  <c r="M526" i="1"/>
  <c r="V504" i="1"/>
  <c r="V518" i="1" s="1"/>
  <c r="U518" i="1"/>
  <c r="V520" i="1"/>
  <c r="V524" i="1" s="1"/>
  <c r="U524" i="1"/>
  <c r="U494" i="1"/>
  <c r="P296" i="1"/>
  <c r="I269" i="1"/>
  <c r="Q269" i="1"/>
  <c r="S269" i="1" s="1"/>
  <c r="L283" i="1"/>
  <c r="D283" i="1"/>
  <c r="L290" i="1"/>
  <c r="D290" i="1"/>
  <c r="Q267" i="1"/>
  <c r="H271" i="1"/>
  <c r="I267" i="1"/>
  <c r="I271" i="1" s="1"/>
  <c r="L275" i="1"/>
  <c r="D275" i="1"/>
  <c r="Q292" i="1"/>
  <c r="S292" i="1" s="1"/>
  <c r="I292" i="1"/>
  <c r="Q273" i="1"/>
  <c r="I273" i="1"/>
  <c r="I283" i="1"/>
  <c r="Q283" i="1"/>
  <c r="S283" i="1" s="1"/>
  <c r="L292" i="1"/>
  <c r="D292" i="1"/>
  <c r="L281" i="1"/>
  <c r="D281" i="1"/>
  <c r="D277" i="1"/>
  <c r="L277" i="1"/>
  <c r="I281" i="1"/>
  <c r="Q281" i="1"/>
  <c r="S281" i="1" s="1"/>
  <c r="L267" i="1"/>
  <c r="D267" i="1"/>
  <c r="I275" i="1"/>
  <c r="Q275" i="1"/>
  <c r="S275" i="1" s="1"/>
  <c r="I277" i="1"/>
  <c r="Q277" i="1"/>
  <c r="S277" i="1" s="1"/>
  <c r="L269" i="1"/>
  <c r="D269" i="1"/>
  <c r="L273" i="1"/>
  <c r="D273" i="1"/>
  <c r="Q290" i="1"/>
  <c r="H294" i="1"/>
  <c r="I290" i="1"/>
  <c r="F269" i="1"/>
  <c r="F271" i="1" s="1"/>
  <c r="F296" i="1" s="1"/>
  <c r="E271" i="1"/>
  <c r="E296" i="1" s="1"/>
  <c r="C485" i="1"/>
  <c r="D481" i="1"/>
  <c r="L481" i="1"/>
  <c r="L485" i="1" s="1"/>
  <c r="L470" i="1"/>
  <c r="L472" i="1" s="1"/>
  <c r="D470" i="1"/>
  <c r="H472" i="1"/>
  <c r="I470" i="1"/>
  <c r="I472" i="1" s="1"/>
  <c r="Q470" i="1"/>
  <c r="Q472" i="1" s="1"/>
  <c r="H462" i="1"/>
  <c r="Q460" i="1"/>
  <c r="Q462" i="1" s="1"/>
  <c r="I460" i="1"/>
  <c r="I462" i="1" s="1"/>
  <c r="C462" i="1"/>
  <c r="L460" i="1"/>
  <c r="L462" i="1" s="1"/>
  <c r="D460" i="1"/>
  <c r="L448" i="1"/>
  <c r="L450" i="1" s="1"/>
  <c r="D448" i="1"/>
  <c r="H450" i="1"/>
  <c r="Q448" i="1"/>
  <c r="Q450" i="1" s="1"/>
  <c r="I448" i="1"/>
  <c r="I450" i="1" s="1"/>
  <c r="C440" i="1"/>
  <c r="L438" i="1"/>
  <c r="L440" i="1" s="1"/>
  <c r="D438" i="1"/>
  <c r="D440" i="1" s="1"/>
  <c r="H440" i="1"/>
  <c r="Q438" i="1"/>
  <c r="Q440" i="1" s="1"/>
  <c r="I438" i="1"/>
  <c r="I440" i="1" s="1"/>
  <c r="Q418" i="1"/>
  <c r="I418" i="1"/>
  <c r="M418" i="1" s="1"/>
  <c r="H424" i="1"/>
  <c r="C428" i="1"/>
  <c r="L426" i="1"/>
  <c r="L428" i="1" s="1"/>
  <c r="D426" i="1"/>
  <c r="L422" i="1"/>
  <c r="D422" i="1"/>
  <c r="Q426" i="1"/>
  <c r="Q428" i="1" s="1"/>
  <c r="I426" i="1"/>
  <c r="I428" i="1" s="1"/>
  <c r="H428" i="1"/>
  <c r="I422" i="1"/>
  <c r="Q422" i="1"/>
  <c r="L418" i="1"/>
  <c r="S405" i="1"/>
  <c r="L407" i="1"/>
  <c r="L409" i="1" s="1"/>
  <c r="D407" i="1"/>
  <c r="D409" i="1" s="1"/>
  <c r="Q407" i="1"/>
  <c r="Q409" i="1" s="1"/>
  <c r="I407" i="1"/>
  <c r="I409" i="1" s="1"/>
  <c r="F407" i="1"/>
  <c r="F409" i="1" s="1"/>
  <c r="E409" i="1"/>
  <c r="M405" i="1"/>
  <c r="E394" i="1"/>
  <c r="E396" i="1" s="1"/>
  <c r="F378" i="1"/>
  <c r="F394" i="1" s="1"/>
  <c r="F396" i="1" s="1"/>
  <c r="L382" i="1"/>
  <c r="D382" i="1"/>
  <c r="Q380" i="1"/>
  <c r="I380" i="1"/>
  <c r="H394" i="1"/>
  <c r="Q378" i="1"/>
  <c r="I378" i="1"/>
  <c r="L378" i="1"/>
  <c r="D378" i="1"/>
  <c r="D380" i="1"/>
  <c r="L380" i="1"/>
  <c r="L374" i="1"/>
  <c r="L376" i="1" s="1"/>
  <c r="D374" i="1"/>
  <c r="D376" i="1" s="1"/>
  <c r="I374" i="1"/>
  <c r="I376" i="1" s="1"/>
  <c r="Q374" i="1"/>
  <c r="Q376" i="1" s="1"/>
  <c r="Q382" i="1"/>
  <c r="I382" i="1"/>
  <c r="I384" i="1"/>
  <c r="Q384" i="1"/>
  <c r="Q386" i="1"/>
  <c r="I386" i="1"/>
  <c r="L392" i="1"/>
  <c r="D392" i="1"/>
  <c r="L388" i="1"/>
  <c r="D388" i="1"/>
  <c r="L386" i="1"/>
  <c r="D386" i="1"/>
  <c r="L384" i="1"/>
  <c r="D384" i="1"/>
  <c r="L390" i="1"/>
  <c r="D390" i="1"/>
  <c r="Q390" i="1"/>
  <c r="I390" i="1"/>
  <c r="Q388" i="1"/>
  <c r="I388" i="1"/>
  <c r="Q392" i="1"/>
  <c r="I392" i="1"/>
  <c r="H366" i="1"/>
  <c r="Q364" i="1"/>
  <c r="Q366" i="1" s="1"/>
  <c r="I364" i="1"/>
  <c r="I366" i="1" s="1"/>
  <c r="C366" i="1"/>
  <c r="L364" i="1"/>
  <c r="L366" i="1" s="1"/>
  <c r="D364" i="1"/>
  <c r="Q354" i="1"/>
  <c r="Q356" i="1" s="1"/>
  <c r="I354" i="1"/>
  <c r="I356" i="1" s="1"/>
  <c r="H356" i="1"/>
  <c r="C356" i="1"/>
  <c r="L354" i="1"/>
  <c r="L356" i="1" s="1"/>
  <c r="D354" i="1"/>
  <c r="H345" i="1"/>
  <c r="Q343" i="1"/>
  <c r="I343" i="1"/>
  <c r="I345" i="1" s="1"/>
  <c r="L343" i="1"/>
  <c r="L345" i="1" s="1"/>
  <c r="D343" i="1"/>
  <c r="I322" i="1"/>
  <c r="Q322" i="1"/>
  <c r="Q324" i="1" s="1"/>
  <c r="L322" i="1"/>
  <c r="L324" i="1" s="1"/>
  <c r="D322" i="1"/>
  <c r="D324" i="1" s="1"/>
  <c r="H324" i="1"/>
  <c r="H254" i="1"/>
  <c r="Q252" i="1"/>
  <c r="Q254" i="1" s="1"/>
  <c r="I252" i="1"/>
  <c r="I254" i="1" s="1"/>
  <c r="C254" i="1"/>
  <c r="L252" i="1"/>
  <c r="L254" i="1" s="1"/>
  <c r="D252" i="1"/>
  <c r="C243" i="1"/>
  <c r="L241" i="1"/>
  <c r="L243" i="1" s="1"/>
  <c r="D241" i="1"/>
  <c r="Q241" i="1"/>
  <c r="Q243" i="1" s="1"/>
  <c r="I241" i="1"/>
  <c r="I243" i="1" s="1"/>
  <c r="H243" i="1"/>
  <c r="L230" i="1"/>
  <c r="L232" i="1" s="1"/>
  <c r="D230" i="1"/>
  <c r="I230" i="1"/>
  <c r="I232" i="1" s="1"/>
  <c r="Q230" i="1"/>
  <c r="Q232" i="1" s="1"/>
  <c r="H232" i="1"/>
  <c r="L217" i="1"/>
  <c r="D217" i="1"/>
  <c r="Q217" i="1"/>
  <c r="S217" i="1" s="1"/>
  <c r="I217" i="1"/>
  <c r="Q213" i="1"/>
  <c r="I213" i="1"/>
  <c r="H219" i="1"/>
  <c r="L215" i="1"/>
  <c r="D215" i="1"/>
  <c r="Q215" i="1"/>
  <c r="S215" i="1" s="1"/>
  <c r="I215" i="1"/>
  <c r="C219" i="1"/>
  <c r="L213" i="1"/>
  <c r="D213" i="1"/>
  <c r="I186" i="1"/>
  <c r="I188" i="1" s="1"/>
  <c r="Q186" i="1"/>
  <c r="Q188" i="1" s="1"/>
  <c r="D200" i="1"/>
  <c r="L200" i="1"/>
  <c r="I198" i="1"/>
  <c r="Q198" i="1"/>
  <c r="I200" i="1"/>
  <c r="Q200" i="1"/>
  <c r="D194" i="1"/>
  <c r="L194" i="1"/>
  <c r="D186" i="1"/>
  <c r="D188" i="1" s="1"/>
  <c r="L186" i="1"/>
  <c r="L188" i="1" s="1"/>
  <c r="D190" i="1"/>
  <c r="D192" i="1" s="1"/>
  <c r="L190" i="1"/>
  <c r="L192" i="1" s="1"/>
  <c r="I194" i="1"/>
  <c r="Q194" i="1"/>
  <c r="D198" i="1"/>
  <c r="L198" i="1"/>
  <c r="I190" i="1"/>
  <c r="I192" i="1" s="1"/>
  <c r="Q190" i="1"/>
  <c r="Q192" i="1" s="1"/>
  <c r="C174" i="1"/>
  <c r="D172" i="1"/>
  <c r="L172" i="1"/>
  <c r="L174" i="1" s="1"/>
  <c r="Q172" i="1"/>
  <c r="Q174" i="1" s="1"/>
  <c r="I172" i="1"/>
  <c r="I174" i="1" s="1"/>
  <c r="H174" i="1"/>
  <c r="I158" i="1"/>
  <c r="Q158" i="1"/>
  <c r="S158" i="1" s="1"/>
  <c r="Q154" i="1"/>
  <c r="S154" i="1" s="1"/>
  <c r="I154" i="1"/>
  <c r="D154" i="1"/>
  <c r="L154" i="1"/>
  <c r="I150" i="1"/>
  <c r="Q150" i="1"/>
  <c r="S150" i="1" s="1"/>
  <c r="I152" i="1"/>
  <c r="Q152" i="1"/>
  <c r="S152" i="1" s="1"/>
  <c r="L152" i="1"/>
  <c r="D152" i="1"/>
  <c r="Q142" i="1"/>
  <c r="S142" i="1" s="1"/>
  <c r="I142" i="1"/>
  <c r="L150" i="1"/>
  <c r="D150" i="1"/>
  <c r="Q146" i="1"/>
  <c r="S146" i="1" s="1"/>
  <c r="I146" i="1"/>
  <c r="L158" i="1"/>
  <c r="D158" i="1"/>
  <c r="L146" i="1"/>
  <c r="D146" i="1"/>
  <c r="M146" i="1" s="1"/>
  <c r="L142" i="1"/>
  <c r="D142" i="1"/>
  <c r="C132" i="1"/>
  <c r="D130" i="1"/>
  <c r="L130" i="1"/>
  <c r="L132" i="1" s="1"/>
  <c r="H132" i="1"/>
  <c r="I130" i="1"/>
  <c r="I132" i="1" s="1"/>
  <c r="F130" i="1"/>
  <c r="F132" i="1" s="1"/>
  <c r="E132" i="1"/>
  <c r="Q67" i="1"/>
  <c r="I67" i="1"/>
  <c r="Q81" i="1"/>
  <c r="I81" i="1"/>
  <c r="Q109" i="1"/>
  <c r="I109" i="1"/>
  <c r="L89" i="1"/>
  <c r="D89" i="1"/>
  <c r="M89" i="1" s="1"/>
  <c r="Q71" i="1"/>
  <c r="I71" i="1"/>
  <c r="Q103" i="1"/>
  <c r="I103" i="1"/>
  <c r="D63" i="1"/>
  <c r="L63" i="1"/>
  <c r="Q97" i="1"/>
  <c r="I97" i="1"/>
  <c r="L91" i="1"/>
  <c r="D91" i="1"/>
  <c r="Q91" i="1"/>
  <c r="I91" i="1"/>
  <c r="D81" i="1"/>
  <c r="L81" i="1"/>
  <c r="Q107" i="1"/>
  <c r="I107" i="1"/>
  <c r="D79" i="1"/>
  <c r="L79" i="1"/>
  <c r="L87" i="1"/>
  <c r="D87" i="1"/>
  <c r="D61" i="1"/>
  <c r="M61" i="1" s="1"/>
  <c r="L61" i="1"/>
  <c r="Q57" i="1"/>
  <c r="I57" i="1"/>
  <c r="L57" i="1"/>
  <c r="D57" i="1"/>
  <c r="Q77" i="1"/>
  <c r="I77" i="1"/>
  <c r="Q101" i="1"/>
  <c r="I101" i="1"/>
  <c r="D105" i="1"/>
  <c r="L105" i="1"/>
  <c r="L73" i="1"/>
  <c r="D73" i="1"/>
  <c r="D53" i="1"/>
  <c r="M53" i="1" s="1"/>
  <c r="L53" i="1"/>
  <c r="D75" i="1"/>
  <c r="L75" i="1"/>
  <c r="D99" i="1"/>
  <c r="L99" i="1"/>
  <c r="L95" i="1"/>
  <c r="D95" i="1"/>
  <c r="Q99" i="1"/>
  <c r="I99" i="1"/>
  <c r="L83" i="1"/>
  <c r="D83" i="1"/>
  <c r="D109" i="1"/>
  <c r="L109" i="1"/>
  <c r="D97" i="1"/>
  <c r="L97" i="1"/>
  <c r="Q95" i="1"/>
  <c r="I95" i="1"/>
  <c r="Q63" i="1"/>
  <c r="I63" i="1"/>
  <c r="D103" i="1"/>
  <c r="L103" i="1"/>
  <c r="L111" i="1"/>
  <c r="D111" i="1"/>
  <c r="M111" i="1" s="1"/>
  <c r="Q65" i="1"/>
  <c r="I65" i="1"/>
  <c r="D65" i="1"/>
  <c r="L65" i="1"/>
  <c r="Q73" i="1"/>
  <c r="I73" i="1"/>
  <c r="Q83" i="1"/>
  <c r="I83" i="1"/>
  <c r="D67" i="1"/>
  <c r="L67" i="1"/>
  <c r="D93" i="1"/>
  <c r="L93" i="1"/>
  <c r="M113" i="1"/>
  <c r="Q75" i="1"/>
  <c r="I75" i="1"/>
  <c r="Q87" i="1"/>
  <c r="I87" i="1"/>
  <c r="Q115" i="1"/>
  <c r="I115" i="1"/>
  <c r="L71" i="1"/>
  <c r="D71" i="1"/>
  <c r="D107" i="1"/>
  <c r="M107" i="1" s="1"/>
  <c r="L107" i="1"/>
  <c r="D115" i="1"/>
  <c r="L115" i="1"/>
  <c r="Q105" i="1"/>
  <c r="I105" i="1"/>
  <c r="D77" i="1"/>
  <c r="L77" i="1"/>
  <c r="D59" i="1"/>
  <c r="L59" i="1"/>
  <c r="L85" i="1"/>
  <c r="D85" i="1"/>
  <c r="M85" i="1" s="1"/>
  <c r="Q59" i="1"/>
  <c r="I59" i="1"/>
  <c r="Q79" i="1"/>
  <c r="I79" i="1"/>
  <c r="Q93" i="1"/>
  <c r="I93" i="1"/>
  <c r="D101" i="1"/>
  <c r="L101" i="1"/>
  <c r="L113" i="1"/>
  <c r="D40" i="1"/>
  <c r="L40" i="1"/>
  <c r="D34" i="1"/>
  <c r="L34" i="1"/>
  <c r="L28" i="1"/>
  <c r="D28" i="1"/>
  <c r="L30" i="1"/>
  <c r="D30" i="1"/>
  <c r="L16" i="1"/>
  <c r="D16" i="1"/>
  <c r="M16" i="1" s="1"/>
  <c r="D32" i="1"/>
  <c r="L32" i="1"/>
  <c r="D14" i="1"/>
  <c r="L14" i="1"/>
  <c r="D12" i="1"/>
  <c r="M12" i="1" s="1"/>
  <c r="L12" i="1"/>
  <c r="L38" i="1"/>
  <c r="D38" i="1"/>
  <c r="Q30" i="1"/>
  <c r="I30" i="1"/>
  <c r="Q14" i="1"/>
  <c r="I14" i="1"/>
  <c r="Q28" i="1"/>
  <c r="I28" i="1"/>
  <c r="Q34" i="1"/>
  <c r="I34" i="1"/>
  <c r="Q38" i="1"/>
  <c r="I38" i="1"/>
  <c r="Q32" i="1"/>
  <c r="I32" i="1"/>
  <c r="Q12" i="1"/>
  <c r="Q16" i="1"/>
  <c r="Q113" i="1"/>
  <c r="S113" i="1" s="1"/>
  <c r="C394" i="1"/>
  <c r="C18" i="1"/>
  <c r="H18" i="1"/>
  <c r="O55" i="1"/>
  <c r="P53" i="1"/>
  <c r="S53" i="1" s="1"/>
  <c r="D287" i="1" l="1"/>
  <c r="I287" i="1"/>
  <c r="L287" i="1"/>
  <c r="Q287" i="1"/>
  <c r="E530" i="1"/>
  <c r="M198" i="1"/>
  <c r="F530" i="1"/>
  <c r="T526" i="1"/>
  <c r="V494" i="1"/>
  <c r="V498" i="1" s="1"/>
  <c r="U498" i="1"/>
  <c r="M292" i="1"/>
  <c r="T292" i="1" s="1"/>
  <c r="U292" i="1" s="1"/>
  <c r="L294" i="1"/>
  <c r="H296" i="1"/>
  <c r="M283" i="1"/>
  <c r="T283" i="1" s="1"/>
  <c r="M273" i="1"/>
  <c r="M267" i="1"/>
  <c r="D271" i="1"/>
  <c r="I294" i="1"/>
  <c r="L271" i="1"/>
  <c r="M277" i="1"/>
  <c r="T277" i="1" s="1"/>
  <c r="U277" i="1" s="1"/>
  <c r="V277" i="1" s="1"/>
  <c r="S273" i="1"/>
  <c r="S287" i="1" s="1"/>
  <c r="M275" i="1"/>
  <c r="T275" i="1" s="1"/>
  <c r="Q271" i="1"/>
  <c r="S267" i="1"/>
  <c r="S271" i="1" s="1"/>
  <c r="M269" i="1"/>
  <c r="T269" i="1" s="1"/>
  <c r="M281" i="1"/>
  <c r="T281" i="1" s="1"/>
  <c r="D294" i="1"/>
  <c r="M290" i="1"/>
  <c r="Q294" i="1"/>
  <c r="S290" i="1"/>
  <c r="S294" i="1" s="1"/>
  <c r="D485" i="1"/>
  <c r="M481" i="1"/>
  <c r="D472" i="1"/>
  <c r="M470" i="1"/>
  <c r="L424" i="1"/>
  <c r="L430" i="1" s="1"/>
  <c r="D462" i="1"/>
  <c r="M460" i="1"/>
  <c r="D450" i="1"/>
  <c r="M448" i="1"/>
  <c r="M40" i="1"/>
  <c r="M438" i="1"/>
  <c r="M422" i="1"/>
  <c r="M424" i="1" s="1"/>
  <c r="H430" i="1"/>
  <c r="D428" i="1"/>
  <c r="M426" i="1"/>
  <c r="I424" i="1"/>
  <c r="I430" i="1" s="1"/>
  <c r="D424" i="1"/>
  <c r="Q424" i="1"/>
  <c r="Q430" i="1" s="1"/>
  <c r="S418" i="1"/>
  <c r="T418" i="1" s="1"/>
  <c r="T405" i="1"/>
  <c r="M380" i="1"/>
  <c r="M382" i="1"/>
  <c r="M407" i="1"/>
  <c r="M388" i="1"/>
  <c r="Q394" i="1"/>
  <c r="M384" i="1"/>
  <c r="M374" i="1"/>
  <c r="M376" i="1" s="1"/>
  <c r="M378" i="1"/>
  <c r="D394" i="1"/>
  <c r="L394" i="1"/>
  <c r="M390" i="1"/>
  <c r="M386" i="1"/>
  <c r="M392" i="1"/>
  <c r="I394" i="1"/>
  <c r="D366" i="1"/>
  <c r="M364" i="1"/>
  <c r="D356" i="1"/>
  <c r="M354" i="1"/>
  <c r="Q345" i="1"/>
  <c r="S343" i="1"/>
  <c r="S345" i="1" s="1"/>
  <c r="D345" i="1"/>
  <c r="M343" i="1"/>
  <c r="M322" i="1"/>
  <c r="I324" i="1"/>
  <c r="D254" i="1"/>
  <c r="M252" i="1"/>
  <c r="M241" i="1"/>
  <c r="D243" i="1"/>
  <c r="T146" i="1"/>
  <c r="U146" i="1" s="1"/>
  <c r="V146" i="1" s="1"/>
  <c r="M230" i="1"/>
  <c r="D232" i="1"/>
  <c r="M150" i="1"/>
  <c r="T150" i="1" s="1"/>
  <c r="D219" i="1"/>
  <c r="M213" i="1"/>
  <c r="I219" i="1"/>
  <c r="M217" i="1"/>
  <c r="M186" i="1"/>
  <c r="M188" i="1" s="1"/>
  <c r="M200" i="1"/>
  <c r="L219" i="1"/>
  <c r="M215" i="1"/>
  <c r="Q219" i="1"/>
  <c r="S213" i="1"/>
  <c r="S219" i="1" s="1"/>
  <c r="M190" i="1"/>
  <c r="M192" i="1" s="1"/>
  <c r="M194" i="1"/>
  <c r="M158" i="1"/>
  <c r="T158" i="1" s="1"/>
  <c r="U158" i="1" s="1"/>
  <c r="V158" i="1" s="1"/>
  <c r="M152" i="1"/>
  <c r="T152" i="1" s="1"/>
  <c r="U152" i="1" s="1"/>
  <c r="V152" i="1" s="1"/>
  <c r="M142" i="1"/>
  <c r="T142" i="1" s="1"/>
  <c r="U142" i="1" s="1"/>
  <c r="V142" i="1" s="1"/>
  <c r="D174" i="1"/>
  <c r="M172" i="1"/>
  <c r="M97" i="1"/>
  <c r="M65" i="1"/>
  <c r="M154" i="1"/>
  <c r="T154" i="1" s="1"/>
  <c r="M79" i="1"/>
  <c r="M63" i="1"/>
  <c r="M130" i="1"/>
  <c r="D132" i="1"/>
  <c r="M67" i="1"/>
  <c r="M109" i="1"/>
  <c r="M87" i="1"/>
  <c r="M59" i="1"/>
  <c r="M32" i="1"/>
  <c r="T113" i="1"/>
  <c r="T53" i="1"/>
  <c r="M105" i="1"/>
  <c r="M93" i="1"/>
  <c r="M75" i="1"/>
  <c r="M28" i="1"/>
  <c r="M115" i="1"/>
  <c r="M83" i="1"/>
  <c r="M57" i="1"/>
  <c r="M77" i="1"/>
  <c r="M91" i="1"/>
  <c r="M101" i="1"/>
  <c r="M103" i="1"/>
  <c r="M71" i="1"/>
  <c r="M73" i="1"/>
  <c r="M95" i="1"/>
  <c r="M99" i="1"/>
  <c r="M38" i="1"/>
  <c r="M14" i="1"/>
  <c r="M81" i="1"/>
  <c r="M34" i="1"/>
  <c r="D18" i="1"/>
  <c r="L18" i="1"/>
  <c r="M30" i="1"/>
  <c r="Q18" i="1"/>
  <c r="I18" i="1"/>
  <c r="J55" i="1"/>
  <c r="C271" i="1"/>
  <c r="E55" i="1"/>
  <c r="F55" i="1" s="1"/>
  <c r="M287" i="1" l="1"/>
  <c r="V292" i="1"/>
  <c r="U526" i="1"/>
  <c r="V526" i="1"/>
  <c r="Q296" i="1"/>
  <c r="I296" i="1"/>
  <c r="U281" i="1"/>
  <c r="V281" i="1" s="1"/>
  <c r="T273" i="1"/>
  <c r="T287" i="1" s="1"/>
  <c r="U283" i="1"/>
  <c r="V283" i="1" s="1"/>
  <c r="U275" i="1"/>
  <c r="V275" i="1" s="1"/>
  <c r="L296" i="1"/>
  <c r="D296" i="1"/>
  <c r="S296" i="1"/>
  <c r="T267" i="1"/>
  <c r="M271" i="1"/>
  <c r="U269" i="1"/>
  <c r="V269" i="1" s="1"/>
  <c r="M294" i="1"/>
  <c r="T290" i="1"/>
  <c r="M485" i="1"/>
  <c r="M472" i="1"/>
  <c r="M462" i="1"/>
  <c r="M450" i="1"/>
  <c r="D430" i="1"/>
  <c r="M440" i="1"/>
  <c r="U418" i="1"/>
  <c r="M428" i="1"/>
  <c r="M430" i="1" s="1"/>
  <c r="M409" i="1"/>
  <c r="U405" i="1"/>
  <c r="V405" i="1" s="1"/>
  <c r="M394" i="1"/>
  <c r="M366" i="1"/>
  <c r="M356" i="1"/>
  <c r="M345" i="1"/>
  <c r="T343" i="1"/>
  <c r="M324" i="1"/>
  <c r="M254" i="1"/>
  <c r="M243" i="1"/>
  <c r="M232" i="1"/>
  <c r="M219" i="1"/>
  <c r="M174" i="1"/>
  <c r="U150" i="1"/>
  <c r="V150" i="1" s="1"/>
  <c r="U154" i="1"/>
  <c r="V154" i="1" s="1"/>
  <c r="M132" i="1"/>
  <c r="U113" i="1"/>
  <c r="V113" i="1" s="1"/>
  <c r="U53" i="1"/>
  <c r="V53" i="1" s="1"/>
  <c r="R55" i="1"/>
  <c r="K55" i="1"/>
  <c r="M18" i="1"/>
  <c r="H55" i="1"/>
  <c r="T271" i="1" l="1"/>
  <c r="U267" i="1"/>
  <c r="U271" i="1" s="1"/>
  <c r="U273" i="1"/>
  <c r="U287" i="1" s="1"/>
  <c r="U290" i="1"/>
  <c r="U294" i="1" s="1"/>
  <c r="T294" i="1"/>
  <c r="M296" i="1"/>
  <c r="V418" i="1"/>
  <c r="T345" i="1"/>
  <c r="U343" i="1"/>
  <c r="U345" i="1" s="1"/>
  <c r="Q55" i="1"/>
  <c r="I55" i="1"/>
  <c r="E69" i="1"/>
  <c r="F69" i="1" s="1"/>
  <c r="C294" i="1"/>
  <c r="V273" i="1" l="1"/>
  <c r="V287" i="1" s="1"/>
  <c r="V290" i="1"/>
  <c r="V294" i="1" s="1"/>
  <c r="U296" i="1"/>
  <c r="T296" i="1"/>
  <c r="V267" i="1"/>
  <c r="V271" i="1" s="1"/>
  <c r="V343" i="1"/>
  <c r="V345" i="1" s="1"/>
  <c r="C296" i="1"/>
  <c r="V296" i="1" l="1"/>
  <c r="J160" i="1" l="1"/>
  <c r="J156" i="1"/>
  <c r="P16" i="1"/>
  <c r="S16" i="1" s="1"/>
  <c r="T16" i="1" s="1"/>
  <c r="R156" i="1" l="1"/>
  <c r="K156" i="1"/>
  <c r="K160" i="1"/>
  <c r="R160" i="1"/>
  <c r="U16" i="1"/>
  <c r="V16" i="1" s="1"/>
  <c r="E117" i="1" l="1"/>
  <c r="E119" i="1" l="1"/>
  <c r="F117" i="1"/>
  <c r="F119" i="1" l="1"/>
  <c r="P481" i="1"/>
  <c r="S481" i="1" l="1"/>
  <c r="P485" i="1"/>
  <c r="J69" i="1"/>
  <c r="J117" i="1"/>
  <c r="S485" i="1" l="1"/>
  <c r="T481" i="1"/>
  <c r="R117" i="1"/>
  <c r="K117" i="1"/>
  <c r="R69" i="1"/>
  <c r="K69" i="1"/>
  <c r="N69" i="1"/>
  <c r="U481" i="1" l="1"/>
  <c r="U485" i="1" s="1"/>
  <c r="T485" i="1"/>
  <c r="C69" i="1"/>
  <c r="V481" i="1" l="1"/>
  <c r="V485" i="1" s="1"/>
  <c r="D69" i="1"/>
  <c r="O69" i="1" l="1"/>
  <c r="P69" i="1" s="1"/>
  <c r="O117" i="1" l="1"/>
  <c r="P12" i="1" l="1"/>
  <c r="S12" i="1" s="1"/>
  <c r="T12" i="1" s="1"/>
  <c r="U12" i="1" l="1"/>
  <c r="V12" i="1" s="1"/>
  <c r="P59" i="1"/>
  <c r="S59" i="1" s="1"/>
  <c r="T59" i="1" s="1"/>
  <c r="P67" i="1"/>
  <c r="S67" i="1" s="1"/>
  <c r="T67" i="1" s="1"/>
  <c r="P85" i="1"/>
  <c r="S85" i="1" s="1"/>
  <c r="T85" i="1" s="1"/>
  <c r="P87" i="1"/>
  <c r="S87" i="1" s="1"/>
  <c r="T87" i="1" s="1"/>
  <c r="P97" i="1"/>
  <c r="S97" i="1" s="1"/>
  <c r="T97" i="1" s="1"/>
  <c r="P101" i="1"/>
  <c r="S101" i="1" s="1"/>
  <c r="T101" i="1" s="1"/>
  <c r="P111" i="1"/>
  <c r="S111" i="1" s="1"/>
  <c r="T111" i="1" s="1"/>
  <c r="P75" i="1"/>
  <c r="S75" i="1" s="1"/>
  <c r="T75" i="1" s="1"/>
  <c r="O119" i="1"/>
  <c r="N55" i="1"/>
  <c r="C55" i="1"/>
  <c r="P241" i="1"/>
  <c r="P213" i="1"/>
  <c r="N196" i="1"/>
  <c r="P172" i="1"/>
  <c r="N160" i="1"/>
  <c r="O160" i="1"/>
  <c r="N148" i="1"/>
  <c r="P148" i="1" s="1"/>
  <c r="N144" i="1"/>
  <c r="O144" i="1"/>
  <c r="O396" i="1"/>
  <c r="O530" i="1" s="1"/>
  <c r="C524" i="1"/>
  <c r="P426" i="1"/>
  <c r="P407" i="1"/>
  <c r="P374" i="1"/>
  <c r="P378" i="1"/>
  <c r="P386" i="1"/>
  <c r="S386" i="1" s="1"/>
  <c r="T386" i="1" s="1"/>
  <c r="P388" i="1"/>
  <c r="S388" i="1" s="1"/>
  <c r="T388" i="1" s="1"/>
  <c r="P390" i="1"/>
  <c r="S390" i="1" s="1"/>
  <c r="T390" i="1" s="1"/>
  <c r="P40" i="1"/>
  <c r="S40" i="1" s="1"/>
  <c r="T40" i="1" s="1"/>
  <c r="P34" i="1"/>
  <c r="S34" i="1" s="1"/>
  <c r="T34" i="1" s="1"/>
  <c r="P14" i="1"/>
  <c r="S14" i="1" s="1"/>
  <c r="T14" i="1" s="1"/>
  <c r="J36" i="1"/>
  <c r="J42" i="1"/>
  <c r="J144" i="1"/>
  <c r="J148" i="1"/>
  <c r="J196" i="1"/>
  <c r="J202" i="1"/>
  <c r="E148" i="1"/>
  <c r="F148" i="1" s="1"/>
  <c r="C160" i="1"/>
  <c r="C376" i="1"/>
  <c r="C472" i="1"/>
  <c r="E42" i="1"/>
  <c r="F42" i="1" s="1"/>
  <c r="J204" i="1" l="1"/>
  <c r="S374" i="1"/>
  <c r="P376" i="1"/>
  <c r="P428" i="1"/>
  <c r="S426" i="1"/>
  <c r="S407" i="1"/>
  <c r="P409" i="1"/>
  <c r="U390" i="1"/>
  <c r="V390" i="1" s="1"/>
  <c r="U388" i="1"/>
  <c r="V388" i="1" s="1"/>
  <c r="R396" i="1"/>
  <c r="R530" i="1" s="1"/>
  <c r="K396" i="1"/>
  <c r="K530" i="1" s="1"/>
  <c r="J396" i="1"/>
  <c r="J530" i="1" s="1"/>
  <c r="C396" i="1"/>
  <c r="U386" i="1"/>
  <c r="V386" i="1" s="1"/>
  <c r="S378" i="1"/>
  <c r="P243" i="1"/>
  <c r="S241" i="1"/>
  <c r="T213" i="1"/>
  <c r="K202" i="1"/>
  <c r="R202" i="1"/>
  <c r="K196" i="1"/>
  <c r="R196" i="1"/>
  <c r="P174" i="1"/>
  <c r="S172" i="1"/>
  <c r="P144" i="1"/>
  <c r="R148" i="1"/>
  <c r="K148" i="1"/>
  <c r="J162" i="1"/>
  <c r="P160" i="1"/>
  <c r="D160" i="1"/>
  <c r="K144" i="1"/>
  <c r="R144" i="1"/>
  <c r="U111" i="1"/>
  <c r="V111" i="1" s="1"/>
  <c r="U85" i="1"/>
  <c r="V85" i="1" s="1"/>
  <c r="U97" i="1"/>
  <c r="V97" i="1" s="1"/>
  <c r="U59" i="1"/>
  <c r="V59" i="1" s="1"/>
  <c r="U75" i="1"/>
  <c r="V75" i="1" s="1"/>
  <c r="U87" i="1"/>
  <c r="V87" i="1" s="1"/>
  <c r="U101" i="1"/>
  <c r="V101" i="1" s="1"/>
  <c r="U67" i="1"/>
  <c r="V67" i="1" s="1"/>
  <c r="L55" i="1"/>
  <c r="D55" i="1"/>
  <c r="M55" i="1" s="1"/>
  <c r="U14" i="1"/>
  <c r="V14" i="1" s="1"/>
  <c r="U40" i="1"/>
  <c r="V40" i="1" s="1"/>
  <c r="U34" i="1"/>
  <c r="V34" i="1" s="1"/>
  <c r="R36" i="1"/>
  <c r="K36" i="1"/>
  <c r="R42" i="1"/>
  <c r="K42" i="1"/>
  <c r="P18" i="1"/>
  <c r="J44" i="1"/>
  <c r="K44" i="1" s="1"/>
  <c r="N117" i="1"/>
  <c r="N119" i="1" s="1"/>
  <c r="P119" i="1" s="1"/>
  <c r="C202" i="1"/>
  <c r="C502" i="1"/>
  <c r="P32" i="1"/>
  <c r="S32" i="1" s="1"/>
  <c r="T32" i="1" s="1"/>
  <c r="P364" i="1"/>
  <c r="P230" i="1"/>
  <c r="S230" i="1" s="1"/>
  <c r="T230" i="1" s="1"/>
  <c r="P252" i="1"/>
  <c r="C148" i="1"/>
  <c r="P354" i="1"/>
  <c r="P470" i="1"/>
  <c r="P130" i="1"/>
  <c r="P38" i="1"/>
  <c r="S38" i="1" s="1"/>
  <c r="T38" i="1" s="1"/>
  <c r="P460" i="1"/>
  <c r="P30" i="1"/>
  <c r="S30" i="1" s="1"/>
  <c r="T30" i="1" s="1"/>
  <c r="E144" i="1"/>
  <c r="F144" i="1" s="1"/>
  <c r="P215" i="1"/>
  <c r="T215" i="1" s="1"/>
  <c r="P103" i="1"/>
  <c r="S103" i="1" s="1"/>
  <c r="T103" i="1" s="1"/>
  <c r="P95" i="1"/>
  <c r="S95" i="1" s="1"/>
  <c r="T95" i="1" s="1"/>
  <c r="E160" i="1"/>
  <c r="P81" i="1"/>
  <c r="S81" i="1" s="1"/>
  <c r="T81" i="1" s="1"/>
  <c r="P109" i="1"/>
  <c r="S109" i="1" s="1"/>
  <c r="T109" i="1" s="1"/>
  <c r="E202" i="1"/>
  <c r="F202" i="1" s="1"/>
  <c r="P73" i="1"/>
  <c r="S73" i="1" s="1"/>
  <c r="T73" i="1" s="1"/>
  <c r="P380" i="1"/>
  <c r="S380" i="1" s="1"/>
  <c r="T380" i="1" s="1"/>
  <c r="P28" i="1"/>
  <c r="S28" i="1" s="1"/>
  <c r="T28" i="1" s="1"/>
  <c r="P382" i="1"/>
  <c r="S382" i="1" s="1"/>
  <c r="T382" i="1" s="1"/>
  <c r="P438" i="1"/>
  <c r="P217" i="1"/>
  <c r="T217" i="1" s="1"/>
  <c r="P228" i="1"/>
  <c r="C196" i="1"/>
  <c r="P448" i="1"/>
  <c r="O156" i="1"/>
  <c r="O162" i="1" s="1"/>
  <c r="O42" i="1"/>
  <c r="N42" i="1"/>
  <c r="P384" i="1"/>
  <c r="S384" i="1" s="1"/>
  <c r="T384" i="1" s="1"/>
  <c r="N202" i="1"/>
  <c r="N204" i="1" s="1"/>
  <c r="P89" i="1"/>
  <c r="S89" i="1" s="1"/>
  <c r="T89" i="1" s="1"/>
  <c r="P79" i="1"/>
  <c r="S79" i="1" s="1"/>
  <c r="T79" i="1" s="1"/>
  <c r="P71" i="1"/>
  <c r="S71" i="1" s="1"/>
  <c r="T71" i="1" s="1"/>
  <c r="P61" i="1"/>
  <c r="S61" i="1" s="1"/>
  <c r="T61" i="1" s="1"/>
  <c r="P105" i="1"/>
  <c r="S105" i="1" s="1"/>
  <c r="T105" i="1" s="1"/>
  <c r="P91" i="1"/>
  <c r="S91" i="1" s="1"/>
  <c r="T91" i="1" s="1"/>
  <c r="P83" i="1"/>
  <c r="S83" i="1" s="1"/>
  <c r="T83" i="1" s="1"/>
  <c r="P65" i="1"/>
  <c r="S65" i="1" s="1"/>
  <c r="T65" i="1" s="1"/>
  <c r="P57" i="1"/>
  <c r="S57" i="1" s="1"/>
  <c r="T57" i="1" s="1"/>
  <c r="O36" i="1"/>
  <c r="P322" i="1"/>
  <c r="P115" i="1"/>
  <c r="S115" i="1" s="1"/>
  <c r="T115" i="1" s="1"/>
  <c r="N36" i="1"/>
  <c r="H144" i="1"/>
  <c r="P186" i="1"/>
  <c r="P194" i="1"/>
  <c r="S194" i="1" s="1"/>
  <c r="T194" i="1" s="1"/>
  <c r="O202" i="1"/>
  <c r="P63" i="1"/>
  <c r="S63" i="1" s="1"/>
  <c r="T63" i="1" s="1"/>
  <c r="P107" i="1"/>
  <c r="S107" i="1" s="1"/>
  <c r="T107" i="1" s="1"/>
  <c r="P99" i="1"/>
  <c r="S99" i="1" s="1"/>
  <c r="T99" i="1" s="1"/>
  <c r="P93" i="1"/>
  <c r="S93" i="1" s="1"/>
  <c r="T93" i="1" s="1"/>
  <c r="C42" i="1"/>
  <c r="H148" i="1"/>
  <c r="N156" i="1"/>
  <c r="C518" i="1"/>
  <c r="O196" i="1"/>
  <c r="P190" i="1"/>
  <c r="C498" i="1"/>
  <c r="P200" i="1"/>
  <c r="S200" i="1" s="1"/>
  <c r="T200" i="1" s="1"/>
  <c r="P422" i="1"/>
  <c r="P77" i="1"/>
  <c r="S77" i="1" s="1"/>
  <c r="T77" i="1" s="1"/>
  <c r="P55" i="1"/>
  <c r="S55" i="1" s="1"/>
  <c r="P198" i="1"/>
  <c r="S198" i="1" s="1"/>
  <c r="T198" i="1" s="1"/>
  <c r="E156" i="1"/>
  <c r="F156" i="1" s="1"/>
  <c r="J310" i="1" l="1"/>
  <c r="J548" i="1" s="1"/>
  <c r="C204" i="1"/>
  <c r="R204" i="1"/>
  <c r="S190" i="1"/>
  <c r="P192" i="1"/>
  <c r="P196" i="1"/>
  <c r="O204" i="1"/>
  <c r="K204" i="1"/>
  <c r="S186" i="1"/>
  <c r="P188" i="1"/>
  <c r="P472" i="1"/>
  <c r="S470" i="1"/>
  <c r="P462" i="1"/>
  <c r="S460" i="1"/>
  <c r="S448" i="1"/>
  <c r="P450" i="1"/>
  <c r="S438" i="1"/>
  <c r="P440" i="1"/>
  <c r="S428" i="1"/>
  <c r="T426" i="1"/>
  <c r="S422" i="1"/>
  <c r="P424" i="1"/>
  <c r="P430" i="1" s="1"/>
  <c r="T374" i="1"/>
  <c r="S376" i="1"/>
  <c r="S409" i="1"/>
  <c r="T407" i="1"/>
  <c r="D396" i="1"/>
  <c r="D530" i="1" s="1"/>
  <c r="U384" i="1"/>
  <c r="V384" i="1" s="1"/>
  <c r="U380" i="1"/>
  <c r="V380" i="1" s="1"/>
  <c r="N396" i="1"/>
  <c r="N530" i="1" s="1"/>
  <c r="T378" i="1"/>
  <c r="U382" i="1"/>
  <c r="V382" i="1" s="1"/>
  <c r="P366" i="1"/>
  <c r="S364" i="1"/>
  <c r="P356" i="1"/>
  <c r="S354" i="1"/>
  <c r="S322" i="1"/>
  <c r="P324" i="1"/>
  <c r="P254" i="1"/>
  <c r="S252" i="1"/>
  <c r="S243" i="1"/>
  <c r="T241" i="1"/>
  <c r="P232" i="1"/>
  <c r="S228" i="1"/>
  <c r="U230" i="1"/>
  <c r="V230" i="1" s="1"/>
  <c r="U217" i="1"/>
  <c r="V217" i="1" s="1"/>
  <c r="U213" i="1"/>
  <c r="T219" i="1"/>
  <c r="U215" i="1"/>
  <c r="V215" i="1" s="1"/>
  <c r="P219" i="1"/>
  <c r="U200" i="1"/>
  <c r="V200" i="1" s="1"/>
  <c r="U198" i="1"/>
  <c r="V198" i="1" s="1"/>
  <c r="U194" i="1"/>
  <c r="V194" i="1" s="1"/>
  <c r="D196" i="1"/>
  <c r="D202" i="1"/>
  <c r="S174" i="1"/>
  <c r="T172" i="1"/>
  <c r="P156" i="1"/>
  <c r="P162" i="1" s="1"/>
  <c r="K162" i="1"/>
  <c r="Q144" i="1"/>
  <c r="S144" i="1" s="1"/>
  <c r="I144" i="1"/>
  <c r="Q148" i="1"/>
  <c r="S148" i="1" s="1"/>
  <c r="I148" i="1"/>
  <c r="F160" i="1"/>
  <c r="E162" i="1"/>
  <c r="D148" i="1"/>
  <c r="L148" i="1"/>
  <c r="N162" i="1"/>
  <c r="R162" i="1"/>
  <c r="P132" i="1"/>
  <c r="S130" i="1"/>
  <c r="U115" i="1"/>
  <c r="V115" i="1" s="1"/>
  <c r="U83" i="1"/>
  <c r="V83" i="1" s="1"/>
  <c r="U79" i="1"/>
  <c r="V79" i="1" s="1"/>
  <c r="U77" i="1"/>
  <c r="V77" i="1" s="1"/>
  <c r="U63" i="1"/>
  <c r="V63" i="1" s="1"/>
  <c r="U57" i="1"/>
  <c r="V57" i="1" s="1"/>
  <c r="U105" i="1"/>
  <c r="V105" i="1" s="1"/>
  <c r="U89" i="1"/>
  <c r="V89" i="1" s="1"/>
  <c r="U73" i="1"/>
  <c r="V73" i="1" s="1"/>
  <c r="U109" i="1"/>
  <c r="V109" i="1" s="1"/>
  <c r="U95" i="1"/>
  <c r="V95" i="1" s="1"/>
  <c r="T55" i="1"/>
  <c r="U99" i="1"/>
  <c r="V99" i="1" s="1"/>
  <c r="U71" i="1"/>
  <c r="V71" i="1" s="1"/>
  <c r="U107" i="1"/>
  <c r="V107" i="1" s="1"/>
  <c r="U91" i="1"/>
  <c r="V91" i="1" s="1"/>
  <c r="U93" i="1"/>
  <c r="V93" i="1" s="1"/>
  <c r="U65" i="1"/>
  <c r="V65" i="1" s="1"/>
  <c r="U61" i="1"/>
  <c r="V61" i="1" s="1"/>
  <c r="U81" i="1"/>
  <c r="V81" i="1" s="1"/>
  <c r="U103" i="1"/>
  <c r="V103" i="1" s="1"/>
  <c r="U32" i="1"/>
  <c r="V32" i="1" s="1"/>
  <c r="U28" i="1"/>
  <c r="V28" i="1" s="1"/>
  <c r="U30" i="1"/>
  <c r="V30" i="1" s="1"/>
  <c r="U38" i="1"/>
  <c r="V38" i="1" s="1"/>
  <c r="D42" i="1"/>
  <c r="R44" i="1"/>
  <c r="R119" i="1"/>
  <c r="S18" i="1"/>
  <c r="T18" i="1" s="1"/>
  <c r="O132" i="1"/>
  <c r="C450" i="1"/>
  <c r="C526" i="1"/>
  <c r="H69" i="1"/>
  <c r="C117" i="1"/>
  <c r="H117" i="1"/>
  <c r="P42" i="1"/>
  <c r="P202" i="1"/>
  <c r="N44" i="1"/>
  <c r="P36" i="1"/>
  <c r="O44" i="1"/>
  <c r="C430" i="1"/>
  <c r="H202" i="1"/>
  <c r="L202" i="1" s="1"/>
  <c r="P117" i="1"/>
  <c r="H160" i="1"/>
  <c r="H42" i="1"/>
  <c r="L42" i="1" s="1"/>
  <c r="C156" i="1"/>
  <c r="C36" i="1"/>
  <c r="H36" i="1"/>
  <c r="P392" i="1"/>
  <c r="H196" i="1"/>
  <c r="H156" i="1"/>
  <c r="E36" i="1"/>
  <c r="C232" i="1"/>
  <c r="C144" i="1"/>
  <c r="E196" i="1"/>
  <c r="F162" i="1" l="1"/>
  <c r="N310" i="1"/>
  <c r="N548" i="1" s="1"/>
  <c r="O310" i="1"/>
  <c r="O548" i="1" s="1"/>
  <c r="K310" i="1"/>
  <c r="K548" i="1" s="1"/>
  <c r="R310" i="1"/>
  <c r="R548" i="1" s="1"/>
  <c r="D204" i="1"/>
  <c r="H204" i="1"/>
  <c r="F196" i="1"/>
  <c r="F204" i="1" s="1"/>
  <c r="E204" i="1"/>
  <c r="P204" i="1"/>
  <c r="T190" i="1"/>
  <c r="S192" i="1"/>
  <c r="T186" i="1"/>
  <c r="S188" i="1"/>
  <c r="S472" i="1"/>
  <c r="T470" i="1"/>
  <c r="S462" i="1"/>
  <c r="T460" i="1"/>
  <c r="S450" i="1"/>
  <c r="T448" i="1"/>
  <c r="S440" i="1"/>
  <c r="T438" i="1"/>
  <c r="T376" i="1"/>
  <c r="U374" i="1"/>
  <c r="T422" i="1"/>
  <c r="S424" i="1"/>
  <c r="S430" i="1" s="1"/>
  <c r="T428" i="1"/>
  <c r="U426" i="1"/>
  <c r="U428" i="1" s="1"/>
  <c r="U407" i="1"/>
  <c r="U409" i="1" s="1"/>
  <c r="T409" i="1"/>
  <c r="S392" i="1"/>
  <c r="P394" i="1"/>
  <c r="P396" i="1" s="1"/>
  <c r="P530" i="1" s="1"/>
  <c r="U378" i="1"/>
  <c r="V378" i="1" s="1"/>
  <c r="Q396" i="1"/>
  <c r="Q530" i="1" s="1"/>
  <c r="H396" i="1"/>
  <c r="H530" i="1" s="1"/>
  <c r="L396" i="1"/>
  <c r="L530" i="1" s="1"/>
  <c r="S366" i="1"/>
  <c r="T364" i="1"/>
  <c r="S356" i="1"/>
  <c r="T354" i="1"/>
  <c r="T322" i="1"/>
  <c r="S324" i="1"/>
  <c r="S254" i="1"/>
  <c r="T252" i="1"/>
  <c r="U241" i="1"/>
  <c r="U243" i="1" s="1"/>
  <c r="T243" i="1"/>
  <c r="S232" i="1"/>
  <c r="T228" i="1"/>
  <c r="U219" i="1"/>
  <c r="L196" i="1"/>
  <c r="L204" i="1" s="1"/>
  <c r="V213" i="1"/>
  <c r="V219" i="1" s="1"/>
  <c r="I202" i="1"/>
  <c r="M202" i="1" s="1"/>
  <c r="Q202" i="1"/>
  <c r="I196" i="1"/>
  <c r="Q196" i="1"/>
  <c r="U172" i="1"/>
  <c r="U174" i="1" s="1"/>
  <c r="T174" i="1"/>
  <c r="H162" i="1"/>
  <c r="I160" i="1"/>
  <c r="M160" i="1" s="1"/>
  <c r="Q160" i="1"/>
  <c r="I156" i="1"/>
  <c r="Q156" i="1"/>
  <c r="S156" i="1" s="1"/>
  <c r="L144" i="1"/>
  <c r="D144" i="1"/>
  <c r="M144" i="1" s="1"/>
  <c r="T144" i="1" s="1"/>
  <c r="D156" i="1"/>
  <c r="L156" i="1"/>
  <c r="M148" i="1"/>
  <c r="T148" i="1" s="1"/>
  <c r="L160" i="1"/>
  <c r="S132" i="1"/>
  <c r="T130" i="1"/>
  <c r="U55" i="1"/>
  <c r="V55" i="1" s="1"/>
  <c r="U18" i="1"/>
  <c r="V18" i="1" s="1"/>
  <c r="D117" i="1"/>
  <c r="L117" i="1"/>
  <c r="Q117" i="1"/>
  <c r="S117" i="1" s="1"/>
  <c r="I117" i="1"/>
  <c r="I69" i="1"/>
  <c r="M69" i="1" s="1"/>
  <c r="L69" i="1"/>
  <c r="D36" i="1"/>
  <c r="L36" i="1"/>
  <c r="E44" i="1"/>
  <c r="F36" i="1"/>
  <c r="Q42" i="1"/>
  <c r="S42" i="1" s="1"/>
  <c r="I42" i="1"/>
  <c r="M42" i="1" s="1"/>
  <c r="Q36" i="1"/>
  <c r="S36" i="1" s="1"/>
  <c r="I36" i="1"/>
  <c r="Q69" i="1"/>
  <c r="S69" i="1" s="1"/>
  <c r="C162" i="1"/>
  <c r="C119" i="1"/>
  <c r="H119" i="1"/>
  <c r="I119" i="1" s="1"/>
  <c r="P44" i="1"/>
  <c r="H44" i="1"/>
  <c r="I44" i="1" s="1"/>
  <c r="E310" i="1" l="1"/>
  <c r="E548" i="1" s="1"/>
  <c r="P310" i="1"/>
  <c r="P548" i="1" s="1"/>
  <c r="H310" i="1"/>
  <c r="H548" i="1" s="1"/>
  <c r="M196" i="1"/>
  <c r="M204" i="1" s="1"/>
  <c r="I204" i="1"/>
  <c r="S196" i="1"/>
  <c r="Q204" i="1"/>
  <c r="T192" i="1"/>
  <c r="U190" i="1"/>
  <c r="T188" i="1"/>
  <c r="U186" i="1"/>
  <c r="T472" i="1"/>
  <c r="U470" i="1"/>
  <c r="U472" i="1" s="1"/>
  <c r="T462" i="1"/>
  <c r="U460" i="1"/>
  <c r="U462" i="1" s="1"/>
  <c r="T450" i="1"/>
  <c r="U448" i="1"/>
  <c r="U450" i="1" s="1"/>
  <c r="T440" i="1"/>
  <c r="U438" i="1"/>
  <c r="U440" i="1" s="1"/>
  <c r="U422" i="1"/>
  <c r="U424" i="1" s="1"/>
  <c r="U430" i="1" s="1"/>
  <c r="T424" i="1"/>
  <c r="T430" i="1" s="1"/>
  <c r="V374" i="1"/>
  <c r="V376" i="1" s="1"/>
  <c r="U376" i="1"/>
  <c r="V426" i="1"/>
  <c r="V428" i="1" s="1"/>
  <c r="V407" i="1"/>
  <c r="V409" i="1" s="1"/>
  <c r="I396" i="1"/>
  <c r="I530" i="1" s="1"/>
  <c r="M396" i="1"/>
  <c r="M530" i="1" s="1"/>
  <c r="T392" i="1"/>
  <c r="S394" i="1"/>
  <c r="S396" i="1" s="1"/>
  <c r="S530" i="1" s="1"/>
  <c r="T366" i="1"/>
  <c r="U364" i="1"/>
  <c r="U366" i="1" s="1"/>
  <c r="T356" i="1"/>
  <c r="U354" i="1"/>
  <c r="U356" i="1" s="1"/>
  <c r="U322" i="1"/>
  <c r="U324" i="1" s="1"/>
  <c r="T324" i="1"/>
  <c r="T254" i="1"/>
  <c r="U252" i="1"/>
  <c r="U254" i="1" s="1"/>
  <c r="V241" i="1"/>
  <c r="V243" i="1" s="1"/>
  <c r="U228" i="1"/>
  <c r="U232" i="1" s="1"/>
  <c r="T232" i="1"/>
  <c r="S202" i="1"/>
  <c r="T202" i="1" s="1"/>
  <c r="L162" i="1"/>
  <c r="V172" i="1"/>
  <c r="V174" i="1" s="1"/>
  <c r="M156" i="1"/>
  <c r="T156" i="1" s="1"/>
  <c r="D162" i="1"/>
  <c r="U144" i="1"/>
  <c r="V144" i="1" s="1"/>
  <c r="Q162" i="1"/>
  <c r="S160" i="1"/>
  <c r="S162" i="1" s="1"/>
  <c r="U148" i="1"/>
  <c r="V148" i="1" s="1"/>
  <c r="I162" i="1"/>
  <c r="T132" i="1"/>
  <c r="U130" i="1"/>
  <c r="U132" i="1" s="1"/>
  <c r="T69" i="1"/>
  <c r="T42" i="1"/>
  <c r="M117" i="1"/>
  <c r="T117" i="1" s="1"/>
  <c r="D119" i="1"/>
  <c r="M119" i="1" s="1"/>
  <c r="L119" i="1"/>
  <c r="M36" i="1"/>
  <c r="T36" i="1" s="1"/>
  <c r="F44" i="1"/>
  <c r="F310" i="1" s="1"/>
  <c r="F548" i="1" s="1"/>
  <c r="Q44" i="1"/>
  <c r="S44" i="1" s="1"/>
  <c r="Q119" i="1"/>
  <c r="S119" i="1" s="1"/>
  <c r="C44" i="1"/>
  <c r="C310" i="1" s="1"/>
  <c r="I310" i="1" l="1"/>
  <c r="I548" i="1" s="1"/>
  <c r="Q310" i="1"/>
  <c r="Q548" i="1" s="1"/>
  <c r="S204" i="1"/>
  <c r="S310" i="1" s="1"/>
  <c r="S548" i="1" s="1"/>
  <c r="V190" i="1"/>
  <c r="V192" i="1" s="1"/>
  <c r="U192" i="1"/>
  <c r="T196" i="1"/>
  <c r="T204" i="1" s="1"/>
  <c r="V186" i="1"/>
  <c r="V188" i="1" s="1"/>
  <c r="U188" i="1"/>
  <c r="V470" i="1"/>
  <c r="V472" i="1" s="1"/>
  <c r="V460" i="1"/>
  <c r="V462" i="1" s="1"/>
  <c r="V448" i="1"/>
  <c r="V450" i="1" s="1"/>
  <c r="V438" i="1"/>
  <c r="V440" i="1" s="1"/>
  <c r="V422" i="1"/>
  <c r="V424" i="1" s="1"/>
  <c r="V430" i="1" s="1"/>
  <c r="V364" i="1"/>
  <c r="V366" i="1" s="1"/>
  <c r="U392" i="1"/>
  <c r="U394" i="1" s="1"/>
  <c r="U396" i="1" s="1"/>
  <c r="U530" i="1" s="1"/>
  <c r="T394" i="1"/>
  <c r="T396" i="1" s="1"/>
  <c r="T530" i="1" s="1"/>
  <c r="V322" i="1"/>
  <c r="V354" i="1"/>
  <c r="V356" i="1" s="1"/>
  <c r="V252" i="1"/>
  <c r="V254" i="1" s="1"/>
  <c r="V228" i="1"/>
  <c r="V232" i="1" s="1"/>
  <c r="U202" i="1"/>
  <c r="V202" i="1" s="1"/>
  <c r="V130" i="1"/>
  <c r="V132" i="1" s="1"/>
  <c r="M162" i="1"/>
  <c r="T160" i="1"/>
  <c r="U156" i="1"/>
  <c r="V156" i="1" s="1"/>
  <c r="T119" i="1"/>
  <c r="U119" i="1" s="1"/>
  <c r="V119" i="1" s="1"/>
  <c r="U117" i="1"/>
  <c r="V117" i="1" s="1"/>
  <c r="U69" i="1"/>
  <c r="V69" i="1" s="1"/>
  <c r="U36" i="1"/>
  <c r="V36" i="1" s="1"/>
  <c r="U42" i="1"/>
  <c r="V42" i="1" s="1"/>
  <c r="D44" i="1"/>
  <c r="M44" i="1" s="1"/>
  <c r="T44" i="1" s="1"/>
  <c r="L44" i="1"/>
  <c r="L310" i="1" s="1"/>
  <c r="L548" i="1" s="1"/>
  <c r="C345" i="1"/>
  <c r="C530" i="1" s="1"/>
  <c r="C548" i="1" s="1"/>
  <c r="M310" i="1" l="1"/>
  <c r="M548" i="1" s="1"/>
  <c r="D310" i="1"/>
  <c r="D548" i="1" s="1"/>
  <c r="U196" i="1"/>
  <c r="V196" i="1" s="1"/>
  <c r="V204" i="1" s="1"/>
  <c r="V324" i="1"/>
  <c r="V392" i="1"/>
  <c r="V394" i="1" s="1"/>
  <c r="V396" i="1" s="1"/>
  <c r="T162" i="1"/>
  <c r="T310" i="1" s="1"/>
  <c r="T548" i="1" s="1"/>
  <c r="U160" i="1"/>
  <c r="U162" i="1" s="1"/>
  <c r="U44" i="1"/>
  <c r="V44" i="1" s="1"/>
  <c r="V530" i="1" l="1"/>
  <c r="U204" i="1"/>
  <c r="U310" i="1" s="1"/>
  <c r="U548" i="1" s="1"/>
  <c r="V160" i="1"/>
  <c r="V162" i="1" s="1"/>
  <c r="V310" i="1" s="1"/>
  <c r="V54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tc={2C97F3B4-C98F-4B56-9CB7-FFAE7BEA1557}</author>
    <author>auxintervencion</author>
    <author>tc={352D8E62-4B1B-493E-A3BD-9FB88835F589}</author>
  </authors>
  <commentList>
    <comment ref="E57" authorId="0" shapeId="0" xr:uid="{2C97F3B4-C98F-4B56-9CB7-FFAE7BEA155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Trienio de Rascon Ortega que sustituye a Palau</t>
      </text>
    </comment>
    <comment ref="H77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auxintervencion:</t>
        </r>
        <r>
          <rPr>
            <sz val="9"/>
            <color indexed="81"/>
            <rFont val="Tahoma"/>
            <family val="2"/>
          </rPr>
          <t xml:space="preserve">
CONSOLIDADO CD 20
</t>
        </r>
      </text>
    </comment>
    <comment ref="G481" authorId="2" shapeId="0" xr:uid="{00000000-0006-0000-0000-000003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Consolidado el nivel 18</t>
      </text>
    </comment>
  </commentList>
</comments>
</file>

<file path=xl/sharedStrings.xml><?xml version="1.0" encoding="utf-8"?>
<sst xmlns="http://schemas.openxmlformats.org/spreadsheetml/2006/main" count="1235" uniqueCount="282">
  <si>
    <t>PERSONAL FUNCIONARIO</t>
  </si>
  <si>
    <t>RETRIBUCION BASICA</t>
  </si>
  <si>
    <t>PAGA EXTRA</t>
  </si>
  <si>
    <t>SUELDO</t>
  </si>
  <si>
    <t>TRIENIO</t>
  </si>
  <si>
    <t>GRUPO</t>
  </si>
  <si>
    <t>GRUP.</t>
  </si>
  <si>
    <t>IMPORTE</t>
  </si>
  <si>
    <t>ANTIG.</t>
  </si>
  <si>
    <t>C.D.</t>
  </si>
  <si>
    <t>RET.BAS.P.E.</t>
  </si>
  <si>
    <t>ANTIG.P.E.</t>
  </si>
  <si>
    <t>A1</t>
  </si>
  <si>
    <t>A2</t>
  </si>
  <si>
    <t>Administración General</t>
  </si>
  <si>
    <t>C1</t>
  </si>
  <si>
    <t>NIVEL</t>
  </si>
  <si>
    <t>C2</t>
  </si>
  <si>
    <t>TOTAL A1</t>
  </si>
  <si>
    <t>TOTAL A2</t>
  </si>
  <si>
    <t>TOTAL C1</t>
  </si>
  <si>
    <t>TOTAL C2</t>
  </si>
  <si>
    <t>TOTAL ADM. GENERAL</t>
  </si>
  <si>
    <t>Seguridad</t>
  </si>
  <si>
    <t>TOTAL SEGURIDAD</t>
  </si>
  <si>
    <t>Colegio Emili Luna</t>
  </si>
  <si>
    <t>AP</t>
  </si>
  <si>
    <t>Urbanismo</t>
  </si>
  <si>
    <t>TOTAL URBANISMO</t>
  </si>
  <si>
    <t>Cementerio</t>
  </si>
  <si>
    <t>Administración financiera</t>
  </si>
  <si>
    <t>TOTAL INTERVENCIÓN</t>
  </si>
  <si>
    <t>TOTAL TESORERIA</t>
  </si>
  <si>
    <t>TOTAL RENTAS</t>
  </si>
  <si>
    <t>Agricultura</t>
  </si>
  <si>
    <t>PERSONAL LABORAL</t>
  </si>
  <si>
    <t>Colegío Blasco Ibañez</t>
  </si>
  <si>
    <t>Colegio Pepita Greus</t>
  </si>
  <si>
    <t>Guardería Infantil</t>
  </si>
  <si>
    <t>TOTAL GUARDERÍA</t>
  </si>
  <si>
    <t>TOTAL PROMOCION CULTURAL</t>
  </si>
  <si>
    <t>Deportes</t>
  </si>
  <si>
    <t>Total AP</t>
  </si>
  <si>
    <t>TOTAL DEPORTES</t>
  </si>
  <si>
    <t>Acción social</t>
  </si>
  <si>
    <t>Gabinete Psicopedagógico</t>
  </si>
  <si>
    <t>OBRAS</t>
  </si>
  <si>
    <t>Vías Públicas</t>
  </si>
  <si>
    <t>EMPLEO</t>
  </si>
  <si>
    <t>FISEOTERAPEUTA</t>
  </si>
  <si>
    <t>PSICOLOGO</t>
  </si>
  <si>
    <t>18</t>
  </si>
  <si>
    <t>MONITOR</t>
  </si>
  <si>
    <t>COMPL. DIRECTOR</t>
  </si>
  <si>
    <t>COMPLE.VIG.COM</t>
  </si>
  <si>
    <t>Biblioteca</t>
  </si>
  <si>
    <t>B</t>
  </si>
  <si>
    <t>TOTAL B</t>
  </si>
  <si>
    <t>17</t>
  </si>
  <si>
    <t>28</t>
  </si>
  <si>
    <t>EQUIPO BASE SERVICIOS SOCIALES</t>
  </si>
  <si>
    <t>TOTALES</t>
  </si>
  <si>
    <t>SERVICIOS SOCIALES</t>
  </si>
  <si>
    <t>INSTALACIONES DEPORTIVAS</t>
  </si>
  <si>
    <t>INCREMENTO</t>
  </si>
  <si>
    <t>COMPLE.VIG.TRANS. 1 HORA</t>
  </si>
  <si>
    <t>COMPLE.VIG.TRANS. 2 HORA</t>
  </si>
  <si>
    <t>AUXILIAR OCUPACIONAL</t>
  </si>
  <si>
    <t>14</t>
  </si>
  <si>
    <t>COMPLEMENTO DESTINO</t>
  </si>
  <si>
    <t>TOTAL ACCIÓN SOCIAL</t>
  </si>
  <si>
    <t>TOTAL COLEGIO EMILI LUNA</t>
  </si>
  <si>
    <t>TOTAL CEMENTERIO</t>
  </si>
  <si>
    <t>Intervención</t>
  </si>
  <si>
    <t>Tesoreria</t>
  </si>
  <si>
    <t>Rentas</t>
  </si>
  <si>
    <t>TOTAL BIBLIOTECA</t>
  </si>
  <si>
    <t>TOTAL AGRICULTURA</t>
  </si>
  <si>
    <t>TOTAL COLEGIO BLASCO IBAÑEZ</t>
  </si>
  <si>
    <t>TOTAL ADMINISTRACIÓN GENERAL</t>
  </si>
  <si>
    <t>TOTAL COLEGIO PEPITA GREUS</t>
  </si>
  <si>
    <t>Promoción cultural</t>
  </si>
  <si>
    <t>TOTAL GABINETE PSICOPEDAGOGICO</t>
  </si>
  <si>
    <t>TOTAL VIAS PÚBLICAS</t>
  </si>
  <si>
    <t>TOTAL PARQUES Y JARDINES</t>
  </si>
  <si>
    <t>TOTAL EMPLEO</t>
  </si>
  <si>
    <t xml:space="preserve">RETRIBUCIONES CENTRO OCUPACIONAL </t>
  </si>
  <si>
    <t>CATEGORIA</t>
  </si>
  <si>
    <t>TOTAL CENTRO OCUPACIÓN</t>
  </si>
  <si>
    <t>Parques y jardines</t>
  </si>
  <si>
    <t>Empleo</t>
  </si>
  <si>
    <t>Centro ocupacional</t>
  </si>
  <si>
    <t>TOTALES A2</t>
  </si>
  <si>
    <t>TOTALES C1</t>
  </si>
  <si>
    <t>TOTALES A1</t>
  </si>
  <si>
    <t>TOTALES EQUIPO BASE</t>
  </si>
  <si>
    <t>22</t>
  </si>
  <si>
    <t>20</t>
  </si>
  <si>
    <t>DOGV 08.06.2023</t>
  </si>
  <si>
    <t>21</t>
  </si>
  <si>
    <t>25</t>
  </si>
  <si>
    <t>COMPLEMENTO ESPECIFICO NORMAL</t>
  </si>
  <si>
    <t>CANTIDAD</t>
  </si>
  <si>
    <t>C1 GUARDERIA</t>
  </si>
  <si>
    <t>CE ESPECIAL</t>
  </si>
  <si>
    <t>B SEGURIDAD</t>
  </si>
  <si>
    <t>C1 SEGURIDAD</t>
  </si>
  <si>
    <t>Funcionario por programa</t>
  </si>
  <si>
    <t>TOTAL ORGANOS DE GOBIERNO</t>
  </si>
  <si>
    <t>Administración General (telefonista)</t>
  </si>
  <si>
    <t>920-12006</t>
  </si>
  <si>
    <t>SUELDO 2024</t>
  </si>
  <si>
    <t>SUELDO 2025</t>
  </si>
  <si>
    <t>TRIENIOS 2025</t>
  </si>
  <si>
    <t>TRIENIOS 2024</t>
  </si>
  <si>
    <t>PLAN DE EMPLEO 2024</t>
  </si>
  <si>
    <t>TOTAL PE</t>
  </si>
  <si>
    <t>1200X</t>
  </si>
  <si>
    <t>TOTAL FUNCIONARIOS</t>
  </si>
  <si>
    <t>TOTAL LABORALES</t>
  </si>
  <si>
    <t>TOTAL RB PE</t>
  </si>
  <si>
    <t>CE PE</t>
  </si>
  <si>
    <t>CD PE</t>
  </si>
  <si>
    <t>RETRIBUCIONES BASICAS</t>
  </si>
  <si>
    <t>RETRIBUCIONES COMPLEMENTARIAS</t>
  </si>
  <si>
    <t>920-1200X</t>
  </si>
  <si>
    <t>920-12100</t>
  </si>
  <si>
    <t>920-12101</t>
  </si>
  <si>
    <t>132-1200X</t>
  </si>
  <si>
    <t>132-12006</t>
  </si>
  <si>
    <t>132-12100</t>
  </si>
  <si>
    <t>132-12101</t>
  </si>
  <si>
    <t>TOTAL.RET. MENSUAL</t>
  </si>
  <si>
    <t>TOTAL.RET. ANUAL</t>
  </si>
  <si>
    <t>CE MENSUAL</t>
  </si>
  <si>
    <t>CD ANUAL</t>
  </si>
  <si>
    <t xml:space="preserve"> CD MENSUAL</t>
  </si>
  <si>
    <t>CE ANUAL</t>
  </si>
  <si>
    <t>SB</t>
  </si>
  <si>
    <t>SB ANUAL</t>
  </si>
  <si>
    <t>ANTIG. ANUAL</t>
  </si>
  <si>
    <t>TOTAL ANUAL</t>
  </si>
  <si>
    <t>COSTE TOTAL</t>
  </si>
  <si>
    <t>SS A CARGO EMPLEADOR</t>
  </si>
  <si>
    <t>SB MENSUAL</t>
  </si>
  <si>
    <t>ANTIG. MENSUAL</t>
  </si>
  <si>
    <t>3213-12006</t>
  </si>
  <si>
    <t>3231-12101</t>
  </si>
  <si>
    <t>3231-12100</t>
  </si>
  <si>
    <t>3231-1200X</t>
  </si>
  <si>
    <t>164-1200X</t>
  </si>
  <si>
    <t>164-12006</t>
  </si>
  <si>
    <t>164-12100</t>
  </si>
  <si>
    <t>164-12101</t>
  </si>
  <si>
    <t>931-1200X</t>
  </si>
  <si>
    <t>931-12006</t>
  </si>
  <si>
    <t>931-12100</t>
  </si>
  <si>
    <t>931-12101</t>
  </si>
  <si>
    <t>934-1200X</t>
  </si>
  <si>
    <t>934-12006</t>
  </si>
  <si>
    <t>934-12100</t>
  </si>
  <si>
    <t>934-12101</t>
  </si>
  <si>
    <t>932-1200X</t>
  </si>
  <si>
    <t>932-12006</t>
  </si>
  <si>
    <t>932-12100</t>
  </si>
  <si>
    <t>932-12101</t>
  </si>
  <si>
    <t>3321-1200X</t>
  </si>
  <si>
    <t>3321-12006</t>
  </si>
  <si>
    <t>3321-12100</t>
  </si>
  <si>
    <t>3321-12101</t>
  </si>
  <si>
    <t>410-1200X</t>
  </si>
  <si>
    <t>410-12006</t>
  </si>
  <si>
    <t>410-12100</t>
  </si>
  <si>
    <t>410-12101</t>
  </si>
  <si>
    <t>912-1200X</t>
  </si>
  <si>
    <t>912-12006</t>
  </si>
  <si>
    <t>912-12100</t>
  </si>
  <si>
    <t>912-12101</t>
  </si>
  <si>
    <t>3321-13000</t>
  </si>
  <si>
    <t>3321-16000</t>
  </si>
  <si>
    <t>920-16000</t>
  </si>
  <si>
    <t>3233-13000</t>
  </si>
  <si>
    <t>3233-16000</t>
  </si>
  <si>
    <t>3232-13000</t>
  </si>
  <si>
    <t>3232-16000</t>
  </si>
  <si>
    <t>3234-13000</t>
  </si>
  <si>
    <t>3234-16000</t>
  </si>
  <si>
    <t>334-13000</t>
  </si>
  <si>
    <t>334-16000</t>
  </si>
  <si>
    <t>340-13000</t>
  </si>
  <si>
    <t>340-16000</t>
  </si>
  <si>
    <t>231-13000</t>
  </si>
  <si>
    <t>231-16000</t>
  </si>
  <si>
    <t>326-13000</t>
  </si>
  <si>
    <t>326-16000</t>
  </si>
  <si>
    <t>1532-13000</t>
  </si>
  <si>
    <t>1532-16000</t>
  </si>
  <si>
    <t>171-13000</t>
  </si>
  <si>
    <t>171-16000</t>
  </si>
  <si>
    <t>171-13002</t>
  </si>
  <si>
    <t>171-130</t>
  </si>
  <si>
    <t>1532-130</t>
  </si>
  <si>
    <t>326-13002</t>
  </si>
  <si>
    <t>326-130</t>
  </si>
  <si>
    <t>231-13002</t>
  </si>
  <si>
    <t>231-130</t>
  </si>
  <si>
    <t>1532-13002</t>
  </si>
  <si>
    <t>241-13000</t>
  </si>
  <si>
    <t>241-13002</t>
  </si>
  <si>
    <t>241-16000</t>
  </si>
  <si>
    <t>932-13000</t>
  </si>
  <si>
    <t>932-13002</t>
  </si>
  <si>
    <t>932-16000</t>
  </si>
  <si>
    <t>341-130</t>
  </si>
  <si>
    <t>932-130</t>
  </si>
  <si>
    <t>151-13000</t>
  </si>
  <si>
    <t>151-16000</t>
  </si>
  <si>
    <t>MENSUAL</t>
  </si>
  <si>
    <t>ANUAL</t>
  </si>
  <si>
    <t>RET.COMPLEM, PE</t>
  </si>
  <si>
    <t>920-130</t>
  </si>
  <si>
    <t>PLANTILLA PRESUPUESTARIA DEL AYUNTAMIENTO DE ALGINET DEL EJERCICIO 2025</t>
  </si>
  <si>
    <t xml:space="preserve">A.1.1.Secretaría clase 2ª (categoría de entrada). </t>
  </si>
  <si>
    <t>A.2.1. Tecnico Adminisración General</t>
  </si>
  <si>
    <t>A.2.1. Tecnico Adminisración General (Adscrito Urbanismo)</t>
  </si>
  <si>
    <t>A.3.2.- Técnico Medio (Informático)</t>
  </si>
  <si>
    <t>A.2.2.- Técnico Medio de contratación</t>
  </si>
  <si>
    <t>A.2.3.-Administrativa</t>
  </si>
  <si>
    <t>A.3.2.- Técnico Medio. Técnico de Recursos Humanos</t>
  </si>
  <si>
    <t>A.2.4.- Auxiliar</t>
  </si>
  <si>
    <t>C2/C1</t>
  </si>
  <si>
    <t>A.3.4.- Servicios Especiales. Policía Local. Escala Técnica</t>
  </si>
  <si>
    <t>A.3.5.- Servicios Especiales. Policía Local. Escala Ejecutiva</t>
  </si>
  <si>
    <t>A.3.6.-Servicios Especiales. Policía Local. Escala Básica</t>
  </si>
  <si>
    <t>A.2.5.-Subalterna. Conserje Edificio y dependencias</t>
  </si>
  <si>
    <t>A.3.1.- Técnica. Técnicos Superiores. Arquitecto</t>
  </si>
  <si>
    <t>A.3.2.- Técnica. Técnicos Medio. Arquitecto tecnico</t>
  </si>
  <si>
    <t>A.2.3.- Administrativa</t>
  </si>
  <si>
    <t xml:space="preserve"> A.1.2.- Intervención-Tesorería. Clase 2ª. Categoría de entrada.</t>
  </si>
  <si>
    <t>A.3.7.- Personal de Oficios. Conserje cementerio</t>
  </si>
  <si>
    <t>A.3.3.- Técnica. Técnicos Auxiliares. Inspector Obras y Servicios</t>
  </si>
  <si>
    <t>A.2.2.- Técnica. Técnicos Medios. Técnico Medio de Intervención</t>
  </si>
  <si>
    <t>A.1.3.- Intervención-Tesorería. Sin clasificación.Tesorera</t>
  </si>
  <si>
    <t>A.3.3.- Técnica. Técnicos Auxiliares.Agente Recaudador</t>
  </si>
  <si>
    <t>A.2.4.- Auxiliar Auxiliar. Auxiliar</t>
  </si>
  <si>
    <t>A.2.1.- Técnica.Técnico Superior Rentas</t>
  </si>
  <si>
    <t>A.3.2.- Técnica. Técnicos Medios.Bibliotecario/aArchivero/a</t>
  </si>
  <si>
    <t>A.2.4.- Auxiliar.Auxiliar</t>
  </si>
  <si>
    <t>A.3.2.- Técnica. Técnicos Medios</t>
  </si>
  <si>
    <t>A.3.2.- Técnica. Técnicos Medios (50% jornada)</t>
  </si>
  <si>
    <t>A.3.1.- Técnica. Técnicos Superiores. Asesor Jurídico</t>
  </si>
  <si>
    <t>A.3.1.- Técnica. Técnicos Superiores. Psicólogo-Pedagogo</t>
  </si>
  <si>
    <t>B.1.- Servicios Generales. Auxiliar</t>
  </si>
  <si>
    <t>B.1.- Servicios Generales. Auxiliar administrativo</t>
  </si>
  <si>
    <t>Biblioteca (auxiliar)</t>
  </si>
  <si>
    <t>Urbanisme (auxiliar)</t>
  </si>
  <si>
    <t>B.1.- Servicios Generales. Telefonista</t>
  </si>
  <si>
    <t>B.3.- Edificios Municipales. Conserje CP</t>
  </si>
  <si>
    <t>B.2.- Cultura Y Enseñanza. Director/a Escuela Educación Infantil</t>
  </si>
  <si>
    <t>B.2.- Cultura Y Enseñanza. Educadores/as de Educación Infantil</t>
  </si>
  <si>
    <t>B.2.- Cultura Y Enseñanza. Encargado/a Casa Cultura</t>
  </si>
  <si>
    <t>B.2.- Cultura Y Enseñanza. Traductor Profesor Valenciano</t>
  </si>
  <si>
    <t>B.3.- Edificios Municipales. Polideportivo</t>
  </si>
  <si>
    <t>B.4.- Polideportivo. Encargado</t>
  </si>
  <si>
    <t>B.4.- Polideportivo. Auxiliares Instalaciones deportivas</t>
  </si>
  <si>
    <t>B.7.3.- Asistencia Social.Auxiliar Ayuda a domicilio</t>
  </si>
  <si>
    <t>B.7.1.- Gabinete Psicopedagógico.Psicólogos</t>
  </si>
  <si>
    <t>B.5.- Obras. Tractorista</t>
  </si>
  <si>
    <t>B.6.- Parques y Jardines. Peón de Jardinería</t>
  </si>
  <si>
    <t>A.3.1.- Técnica. Técnicos Superiores. Técnico Superior de empleo y promoción económica
Empleo y Promoción
Económica</t>
  </si>
  <si>
    <t>B.7.1.- Gabinete Psicopedagógico. Psicólogos</t>
  </si>
  <si>
    <t>B.7.2.- Centro Ocupacional Hort de Feliu. Director C. Ocupacional</t>
  </si>
  <si>
    <t>B.7.2.- Centro Ocupacional Hort de Feliu.Fisioterapeuta</t>
  </si>
  <si>
    <t>B.7.2.- Centro Ocupacional Hort de Feliu.Monitor C. Ocupacional</t>
  </si>
  <si>
    <t>B.7.2.- Centro Ocupacional Hort de Feliu. Auxiliar C. Ocupacional</t>
  </si>
  <si>
    <t>PERSONAL EVENTUAL</t>
  </si>
  <si>
    <t>Personal Eventual</t>
  </si>
  <si>
    <t>Gestor de comunicación institucional</t>
  </si>
  <si>
    <t>Secretaría personal de la Alcaldía</t>
  </si>
  <si>
    <t>TOTAL PERSONAL EVENTUAL</t>
  </si>
  <si>
    <t>FUNCIONARIOS POR PROGRAMAS</t>
  </si>
  <si>
    <t>TOTAL PLANTILLA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</si>
</sst>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[$€]_-;\-* #,##0.00\ [$€]_-;_-* \-??\ [$€]_-;_-@_-"/>
    <numFmt numFmtId="165" formatCode="_-* #,##0.00\ _P_t_s_-;\-* #,##0.00\ _P_t_s_-;_-* \-??\ _P_t_s_-;_-@_-"/>
    <numFmt numFmtId="167" formatCode="#,##0.00\ &quot;€&quot;"/>
    <numFmt numFmtId="168" formatCode="0.000000"/>
    <numFmt numFmtId="169" formatCode="_-* #,##0.00\ [$€-C0A]_-;\-* #,##0.00\ [$€-C0A]_-;_-* &quot;-&quot;??\ [$€-C0A]_-;_-@_-"/>
  </numFmts>
  <fonts count="38" x14ac:knownFonts="1"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i/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2"/>
      <color indexed="14"/>
      <name val="Arial"/>
      <family val="2"/>
    </font>
    <font>
      <i/>
      <sz val="12"/>
      <name val="Arial"/>
      <family val="2"/>
    </font>
    <font>
      <i/>
      <sz val="12"/>
      <color indexed="14"/>
      <name val="Arial"/>
      <family val="2"/>
    </font>
    <font>
      <i/>
      <sz val="12"/>
      <color rgb="FFFF00FF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i/>
      <sz val="13"/>
      <color indexed="14"/>
      <name val="Arial"/>
      <family val="2"/>
    </font>
    <font>
      <b/>
      <i/>
      <sz val="13"/>
      <name val="Arial"/>
      <family val="2"/>
    </font>
    <font>
      <i/>
      <sz val="13"/>
      <color indexed="14"/>
      <name val="Arial"/>
      <family val="2"/>
    </font>
    <font>
      <i/>
      <sz val="13"/>
      <name val="Arial"/>
      <family val="2"/>
    </font>
    <font>
      <sz val="13"/>
      <color rgb="FFFF0000"/>
      <name val="Arial"/>
      <family val="2"/>
    </font>
    <font>
      <i/>
      <sz val="13"/>
      <color rgb="FFFF33CC"/>
      <name val="Arial"/>
      <family val="2"/>
    </font>
    <font>
      <b/>
      <sz val="13"/>
      <color rgb="FFFF0000"/>
      <name val="Arial"/>
      <family val="2"/>
    </font>
    <font>
      <i/>
      <sz val="13"/>
      <color rgb="FFFF00FF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164" fontId="5" fillId="0" borderId="0" applyFill="0" applyBorder="0" applyAlignment="0" applyProtection="0"/>
    <xf numFmtId="165" fontId="5" fillId="0" borderId="0" applyFill="0" applyBorder="0" applyAlignment="0" applyProtection="0"/>
  </cellStyleXfs>
  <cellXfs count="616">
    <xf numFmtId="0" fontId="0" fillId="0" borderId="0" xfId="0"/>
    <xf numFmtId="4" fontId="0" fillId="0" borderId="0" xfId="0" applyNumberFormat="1"/>
    <xf numFmtId="4" fontId="0" fillId="0" borderId="1" xfId="0" applyNumberFormat="1" applyBorder="1"/>
    <xf numFmtId="4" fontId="0" fillId="0" borderId="2" xfId="0" applyNumberFormat="1" applyBorder="1"/>
    <xf numFmtId="4" fontId="4" fillId="0" borderId="0" xfId="0" applyNumberFormat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8" xfId="0" applyNumberFormat="1" applyBorder="1"/>
    <xf numFmtId="4" fontId="0" fillId="0" borderId="10" xfId="0" applyNumberFormat="1" applyBorder="1"/>
    <xf numFmtId="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2" borderId="7" xfId="0" applyNumberFormat="1" applyFont="1" applyFill="1" applyBorder="1"/>
    <xf numFmtId="49" fontId="0" fillId="0" borderId="0" xfId="0" applyNumberFormat="1" applyAlignment="1">
      <alignment horizontal="right"/>
    </xf>
    <xf numFmtId="4" fontId="0" fillId="2" borderId="7" xfId="0" applyNumberFormat="1" applyFill="1" applyBorder="1" applyAlignment="1">
      <alignment horizontal="center"/>
    </xf>
    <xf numFmtId="4" fontId="0" fillId="2" borderId="9" xfId="0" applyNumberForma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2" borderId="7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4" fontId="8" fillId="2" borderId="7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1" fontId="8" fillId="2" borderId="8" xfId="0" applyNumberFormat="1" applyFont="1" applyFill="1" applyBorder="1" applyAlignment="1">
      <alignment horizontal="center" vertical="center"/>
    </xf>
    <xf numFmtId="167" fontId="0" fillId="0" borderId="3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167" fontId="0" fillId="0" borderId="10" xfId="0" applyNumberFormat="1" applyBorder="1" applyAlignment="1">
      <alignment horizontal="center" vertical="center"/>
    </xf>
    <xf numFmtId="167" fontId="0" fillId="0" borderId="11" xfId="0" applyNumberForma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4" fillId="0" borderId="10" xfId="0" applyNumberFormat="1" applyFont="1" applyBorder="1"/>
    <xf numFmtId="4" fontId="14" fillId="0" borderId="0" xfId="0" applyNumberFormat="1" applyFont="1" applyAlignment="1">
      <alignment horizontal="center"/>
    </xf>
    <xf numFmtId="4" fontId="12" fillId="0" borderId="2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4" fontId="15" fillId="0" borderId="0" xfId="0" applyNumberFormat="1" applyFont="1"/>
    <xf numFmtId="4" fontId="1" fillId="0" borderId="0" xfId="0" applyNumberFormat="1" applyFont="1"/>
    <xf numFmtId="4" fontId="0" fillId="0" borderId="3" xfId="0" applyNumberFormat="1" applyBorder="1" applyAlignment="1">
      <alignment vertical="center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4" fontId="0" fillId="0" borderId="11" xfId="0" applyNumberFormat="1" applyBorder="1"/>
    <xf numFmtId="4" fontId="18" fillId="2" borderId="3" xfId="0" applyNumberFormat="1" applyFont="1" applyFill="1" applyBorder="1" applyAlignment="1">
      <alignment horizontal="center" vertical="center" wrapText="1"/>
    </xf>
    <xf numFmtId="4" fontId="18" fillId="2" borderId="7" xfId="0" applyNumberFormat="1" applyFont="1" applyFill="1" applyBorder="1" applyAlignment="1">
      <alignment horizontal="center" vertical="center"/>
    </xf>
    <xf numFmtId="4" fontId="18" fillId="2" borderId="8" xfId="0" applyNumberFormat="1" applyFont="1" applyFill="1" applyBorder="1" applyAlignment="1">
      <alignment horizontal="center" vertical="center"/>
    </xf>
    <xf numFmtId="4" fontId="14" fillId="2" borderId="7" xfId="0" applyNumberFormat="1" applyFont="1" applyFill="1" applyBorder="1"/>
    <xf numFmtId="4" fontId="14" fillId="2" borderId="7" xfId="0" applyNumberFormat="1" applyFont="1" applyFill="1" applyBorder="1" applyAlignment="1">
      <alignment wrapText="1"/>
    </xf>
    <xf numFmtId="4" fontId="14" fillId="0" borderId="9" xfId="0" applyNumberFormat="1" applyFont="1" applyBorder="1"/>
    <xf numFmtId="4" fontId="14" fillId="2" borderId="9" xfId="0" applyNumberFormat="1" applyFont="1" applyFill="1" applyBorder="1" applyAlignment="1">
      <alignment horizontal="center" vertical="center"/>
    </xf>
    <xf numFmtId="4" fontId="14" fillId="2" borderId="7" xfId="0" applyNumberFormat="1" applyFont="1" applyFill="1" applyBorder="1" applyAlignment="1">
      <alignment horizontal="center"/>
    </xf>
    <xf numFmtId="4" fontId="14" fillId="2" borderId="9" xfId="0" applyNumberFormat="1" applyFont="1" applyFill="1" applyBorder="1" applyAlignment="1">
      <alignment horizontal="center"/>
    </xf>
    <xf numFmtId="4" fontId="0" fillId="0" borderId="3" xfId="2" applyNumberFormat="1" applyFont="1" applyFill="1" applyBorder="1" applyAlignment="1" applyProtection="1">
      <alignment vertical="center"/>
    </xf>
    <xf numFmtId="4" fontId="13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vertical="center"/>
    </xf>
    <xf numFmtId="4" fontId="17" fillId="0" borderId="0" xfId="0" applyNumberFormat="1" applyFont="1"/>
    <xf numFmtId="4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49" fontId="17" fillId="2" borderId="3" xfId="0" applyNumberFormat="1" applyFont="1" applyFill="1" applyBorder="1" applyAlignment="1">
      <alignment horizontal="right"/>
    </xf>
    <xf numFmtId="167" fontId="0" fillId="0" borderId="3" xfId="0" applyNumberFormat="1" applyBorder="1" applyAlignment="1">
      <alignment horizontal="right" wrapText="1"/>
    </xf>
    <xf numFmtId="167" fontId="0" fillId="0" borderId="3" xfId="0" applyNumberFormat="1" applyBorder="1" applyAlignment="1">
      <alignment horizontal="right"/>
    </xf>
    <xf numFmtId="0" fontId="17" fillId="2" borderId="7" xfId="0" applyFont="1" applyFill="1" applyBorder="1"/>
    <xf numFmtId="0" fontId="17" fillId="2" borderId="8" xfId="0" applyFont="1" applyFill="1" applyBorder="1"/>
    <xf numFmtId="4" fontId="7" fillId="2" borderId="7" xfId="0" applyNumberFormat="1" applyFont="1" applyFill="1" applyBorder="1"/>
    <xf numFmtId="167" fontId="0" fillId="0" borderId="8" xfId="0" applyNumberFormat="1" applyBorder="1" applyAlignment="1">
      <alignment horizontal="right" wrapText="1"/>
    </xf>
    <xf numFmtId="4" fontId="7" fillId="2" borderId="9" xfId="0" applyNumberFormat="1" applyFont="1" applyFill="1" applyBorder="1"/>
    <xf numFmtId="167" fontId="0" fillId="0" borderId="10" xfId="0" applyNumberFormat="1" applyBorder="1" applyAlignment="1">
      <alignment horizontal="right" vertical="center" wrapText="1"/>
    </xf>
    <xf numFmtId="4" fontId="16" fillId="0" borderId="0" xfId="0" applyNumberFormat="1" applyFont="1" applyAlignment="1">
      <alignment vertical="center"/>
    </xf>
    <xf numFmtId="0" fontId="8" fillId="0" borderId="0" xfId="0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" fontId="8" fillId="0" borderId="0" xfId="0" applyNumberFormat="1" applyFont="1" applyAlignment="1">
      <alignment horizontal="right" wrapText="1"/>
    </xf>
    <xf numFmtId="4" fontId="8" fillId="0" borderId="18" xfId="0" applyNumberFormat="1" applyFont="1" applyBorder="1"/>
    <xf numFmtId="4" fontId="8" fillId="0" borderId="0" xfId="0" applyNumberFormat="1" applyFont="1"/>
    <xf numFmtId="4" fontId="2" fillId="0" borderId="0" xfId="0" applyNumberFormat="1" applyFont="1" applyAlignment="1">
      <alignment horizontal="right" wrapText="1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168" fontId="8" fillId="0" borderId="0" xfId="0" applyNumberFormat="1" applyFont="1" applyAlignment="1">
      <alignment horizontal="center" vertical="center"/>
    </xf>
    <xf numFmtId="4" fontId="7" fillId="2" borderId="3" xfId="0" applyNumberFormat="1" applyFont="1" applyFill="1" applyBorder="1"/>
    <xf numFmtId="2" fontId="0" fillId="0" borderId="0" xfId="0" applyNumberFormat="1"/>
    <xf numFmtId="4" fontId="21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9" fontId="0" fillId="0" borderId="0" xfId="0" applyNumberFormat="1"/>
    <xf numFmtId="169" fontId="0" fillId="0" borderId="3" xfId="0" applyNumberFormat="1" applyBorder="1"/>
    <xf numFmtId="169" fontId="0" fillId="0" borderId="8" xfId="0" applyNumberFormat="1" applyBorder="1"/>
    <xf numFmtId="169" fontId="0" fillId="5" borderId="0" xfId="0" applyNumberFormat="1" applyFill="1"/>
    <xf numFmtId="169" fontId="0" fillId="5" borderId="3" xfId="0" applyNumberFormat="1" applyFill="1" applyBorder="1"/>
    <xf numFmtId="0" fontId="6" fillId="0" borderId="0" xfId="0" applyFont="1" applyAlignment="1">
      <alignment horizontal="center"/>
    </xf>
    <xf numFmtId="0" fontId="2" fillId="0" borderId="0" xfId="0" applyFont="1"/>
    <xf numFmtId="169" fontId="2" fillId="0" borderId="0" xfId="0" applyNumberFormat="1" applyFont="1"/>
    <xf numFmtId="169" fontId="19" fillId="0" borderId="0" xfId="0" applyNumberFormat="1" applyFont="1" applyAlignment="1">
      <alignment horizontal="center" vertical="center"/>
    </xf>
    <xf numFmtId="169" fontId="2" fillId="4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4" fontId="20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4" fontId="8" fillId="0" borderId="19" xfId="0" applyNumberFormat="1" applyFont="1" applyBorder="1"/>
    <xf numFmtId="4" fontId="23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" fontId="8" fillId="0" borderId="33" xfId="0" applyNumberFormat="1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4" fontId="23" fillId="0" borderId="18" xfId="0" applyNumberFormat="1" applyFont="1" applyBorder="1" applyAlignment="1">
      <alignment horizontal="center" vertical="center"/>
    </xf>
    <xf numFmtId="4" fontId="23" fillId="0" borderId="19" xfId="0" applyNumberFormat="1" applyFont="1" applyBorder="1" applyAlignment="1">
      <alignment horizontal="center" vertical="center"/>
    </xf>
    <xf numFmtId="4" fontId="23" fillId="0" borderId="19" xfId="0" applyNumberFormat="1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4" fontId="23" fillId="0" borderId="20" xfId="0" applyNumberFormat="1" applyFont="1" applyBorder="1" applyAlignment="1">
      <alignment horizontal="center" vertical="center" wrapText="1"/>
    </xf>
    <xf numFmtId="4" fontId="8" fillId="0" borderId="33" xfId="0" applyNumberFormat="1" applyFont="1" applyBorder="1" applyAlignment="1">
      <alignment horizontal="center"/>
    </xf>
    <xf numFmtId="4" fontId="8" fillId="0" borderId="24" xfId="0" applyNumberFormat="1" applyFont="1" applyBorder="1" applyAlignment="1">
      <alignment horizontal="right" wrapText="1"/>
    </xf>
    <xf numFmtId="4" fontId="8" fillId="0" borderId="33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wrapText="1"/>
    </xf>
    <xf numFmtId="0" fontId="2" fillId="6" borderId="17" xfId="0" applyFont="1" applyFill="1" applyBorder="1" applyAlignment="1">
      <alignment horizontal="center"/>
    </xf>
    <xf numFmtId="0" fontId="2" fillId="6" borderId="20" xfId="0" applyFont="1" applyFill="1" applyBorder="1" applyAlignment="1">
      <alignment horizontal="center"/>
    </xf>
    <xf numFmtId="4" fontId="8" fillId="0" borderId="33" xfId="0" applyNumberFormat="1" applyFont="1" applyBorder="1" applyAlignment="1">
      <alignment vertical="center"/>
    </xf>
    <xf numFmtId="4" fontId="8" fillId="9" borderId="24" xfId="0" applyNumberFormat="1" applyFont="1" applyFill="1" applyBorder="1"/>
    <xf numFmtId="4" fontId="23" fillId="9" borderId="20" xfId="0" applyNumberFormat="1" applyFont="1" applyFill="1" applyBorder="1" applyAlignment="1">
      <alignment horizontal="center" vertical="center" wrapText="1"/>
    </xf>
    <xf numFmtId="4" fontId="2" fillId="7" borderId="0" xfId="0" applyNumberFormat="1" applyFont="1" applyFill="1" applyAlignment="1">
      <alignment horizontal="right" wrapText="1"/>
    </xf>
    <xf numFmtId="4" fontId="19" fillId="0" borderId="15" xfId="0" applyNumberFormat="1" applyFont="1" applyBorder="1" applyAlignment="1">
      <alignment horizontal="center" vertical="center"/>
    </xf>
    <xf numFmtId="44" fontId="8" fillId="0" borderId="19" xfId="0" applyNumberFormat="1" applyFont="1" applyBorder="1"/>
    <xf numFmtId="4" fontId="8" fillId="0" borderId="18" xfId="0" applyNumberFormat="1" applyFont="1" applyBorder="1" applyAlignment="1">
      <alignment horizontal="center"/>
    </xf>
    <xf numFmtId="169" fontId="2" fillId="0" borderId="16" xfId="0" applyNumberFormat="1" applyFont="1" applyBorder="1"/>
    <xf numFmtId="4" fontId="23" fillId="0" borderId="33" xfId="0" applyNumberFormat="1" applyFont="1" applyBorder="1"/>
    <xf numFmtId="169" fontId="23" fillId="0" borderId="18" xfId="0" applyNumberFormat="1" applyFont="1" applyBorder="1" applyAlignment="1">
      <alignment horizontal="center" vertical="center"/>
    </xf>
    <xf numFmtId="169" fontId="2" fillId="0" borderId="18" xfId="0" applyNumberFormat="1" applyFont="1" applyBorder="1"/>
    <xf numFmtId="0" fontId="2" fillId="6" borderId="15" xfId="0" applyFont="1" applyFill="1" applyBorder="1" applyAlignment="1">
      <alignment horizontal="center" wrapText="1"/>
    </xf>
    <xf numFmtId="4" fontId="8" fillId="6" borderId="33" xfId="0" applyNumberFormat="1" applyFont="1" applyFill="1" applyBorder="1" applyAlignment="1">
      <alignment horizontal="right" wrapText="1"/>
    </xf>
    <xf numFmtId="4" fontId="8" fillId="6" borderId="24" xfId="0" applyNumberFormat="1" applyFont="1" applyFill="1" applyBorder="1"/>
    <xf numFmtId="0" fontId="2" fillId="6" borderId="18" xfId="0" applyFont="1" applyFill="1" applyBorder="1" applyAlignment="1">
      <alignment horizontal="center" wrapText="1"/>
    </xf>
    <xf numFmtId="4" fontId="8" fillId="9" borderId="17" xfId="0" applyNumberFormat="1" applyFont="1" applyFill="1" applyBorder="1"/>
    <xf numFmtId="44" fontId="8" fillId="9" borderId="20" xfId="0" applyNumberFormat="1" applyFont="1" applyFill="1" applyBorder="1"/>
    <xf numFmtId="4" fontId="2" fillId="7" borderId="33" xfId="0" applyNumberFormat="1" applyFont="1" applyFill="1" applyBorder="1" applyAlignment="1">
      <alignment horizontal="center"/>
    </xf>
    <xf numFmtId="4" fontId="20" fillId="0" borderId="33" xfId="0" applyNumberFormat="1" applyFont="1" applyBorder="1" applyAlignment="1">
      <alignment horizontal="center" vertical="center"/>
    </xf>
    <xf numFmtId="4" fontId="20" fillId="0" borderId="24" xfId="0" applyNumberFormat="1" applyFont="1" applyBorder="1" applyAlignment="1">
      <alignment horizontal="center" vertical="center" wrapText="1"/>
    </xf>
    <xf numFmtId="4" fontId="2" fillId="7" borderId="24" xfId="0" applyNumberFormat="1" applyFont="1" applyFill="1" applyBorder="1" applyAlignment="1">
      <alignment horizontal="right" wrapText="1"/>
    </xf>
    <xf numFmtId="4" fontId="2" fillId="7" borderId="33" xfId="0" applyNumberFormat="1" applyFont="1" applyFill="1" applyBorder="1" applyAlignment="1">
      <alignment horizontal="right" wrapText="1"/>
    </xf>
    <xf numFmtId="4" fontId="20" fillId="0" borderId="18" xfId="0" applyNumberFormat="1" applyFont="1" applyBorder="1" applyAlignment="1">
      <alignment horizontal="center" vertical="center"/>
    </xf>
    <xf numFmtId="4" fontId="20" fillId="6" borderId="33" xfId="0" applyNumberFormat="1" applyFont="1" applyFill="1" applyBorder="1" applyAlignment="1">
      <alignment horizontal="center" vertical="center" wrapText="1"/>
    </xf>
    <xf numFmtId="4" fontId="20" fillId="6" borderId="24" xfId="0" applyNumberFormat="1" applyFont="1" applyFill="1" applyBorder="1" applyAlignment="1">
      <alignment horizontal="center" vertical="center"/>
    </xf>
    <xf numFmtId="4" fontId="20" fillId="9" borderId="24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right" vertical="center" wrapText="1"/>
    </xf>
    <xf numFmtId="4" fontId="8" fillId="0" borderId="24" xfId="0" applyNumberFormat="1" applyFont="1" applyBorder="1" applyAlignment="1">
      <alignment horizontal="right" vertical="center" wrapText="1"/>
    </xf>
    <xf numFmtId="4" fontId="8" fillId="6" borderId="33" xfId="0" applyNumberFormat="1" applyFont="1" applyFill="1" applyBorder="1" applyAlignment="1">
      <alignment horizontal="right" vertical="center" wrapText="1"/>
    </xf>
    <xf numFmtId="4" fontId="8" fillId="6" borderId="24" xfId="0" applyNumberFormat="1" applyFont="1" applyFill="1" applyBorder="1" applyAlignment="1">
      <alignment vertical="center"/>
    </xf>
    <xf numFmtId="4" fontId="8" fillId="9" borderId="24" xfId="0" applyNumberFormat="1" applyFont="1" applyFill="1" applyBorder="1" applyAlignment="1">
      <alignment vertical="center"/>
    </xf>
    <xf numFmtId="4" fontId="21" fillId="0" borderId="0" xfId="0" applyNumberFormat="1" applyFont="1" applyAlignment="1">
      <alignment vertical="center"/>
    </xf>
    <xf numFmtId="4" fontId="24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4" fontId="27" fillId="11" borderId="0" xfId="0" applyNumberFormat="1" applyFont="1" applyFill="1"/>
    <xf numFmtId="4" fontId="23" fillId="0" borderId="0" xfId="0" applyNumberFormat="1" applyFont="1" applyAlignment="1">
      <alignment horizontal="center"/>
    </xf>
    <xf numFmtId="44" fontId="8" fillId="0" borderId="0" xfId="0" applyNumberFormat="1" applyFont="1"/>
    <xf numFmtId="4" fontId="0" fillId="13" borderId="0" xfId="0" applyNumberFormat="1" applyFill="1"/>
    <xf numFmtId="4" fontId="8" fillId="13" borderId="0" xfId="0" applyNumberFormat="1" applyFont="1" applyFill="1"/>
    <xf numFmtId="169" fontId="2" fillId="13" borderId="0" xfId="0" applyNumberFormat="1" applyFont="1" applyFill="1"/>
    <xf numFmtId="4" fontId="13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" fontId="23" fillId="0" borderId="0" xfId="0" applyNumberFormat="1" applyFont="1" applyAlignment="1">
      <alignment vertical="center"/>
    </xf>
    <xf numFmtId="4" fontId="23" fillId="0" borderId="0" xfId="0" applyNumberFormat="1" applyFont="1" applyAlignment="1">
      <alignment wrapText="1"/>
    </xf>
    <xf numFmtId="0" fontId="25" fillId="0" borderId="15" xfId="0" applyFont="1" applyBorder="1" applyAlignment="1">
      <alignment vertical="center"/>
    </xf>
    <xf numFmtId="0" fontId="28" fillId="0" borderId="16" xfId="0" applyFont="1" applyBorder="1" applyAlignment="1">
      <alignment vertical="center"/>
    </xf>
    <xf numFmtId="0" fontId="29" fillId="0" borderId="0" xfId="0" applyFont="1" applyAlignment="1">
      <alignment horizontal="right" wrapText="1"/>
    </xf>
    <xf numFmtId="49" fontId="29" fillId="0" borderId="0" xfId="0" applyNumberFormat="1" applyFont="1" applyAlignment="1">
      <alignment horizontal="right" wrapText="1"/>
    </xf>
    <xf numFmtId="4" fontId="29" fillId="0" borderId="0" xfId="0" applyNumberFormat="1" applyFont="1" applyAlignment="1">
      <alignment horizontal="right" wrapText="1"/>
    </xf>
    <xf numFmtId="0" fontId="28" fillId="0" borderId="16" xfId="0" applyFont="1" applyBorder="1" applyAlignment="1">
      <alignment horizontal="center" wrapText="1"/>
    </xf>
    <xf numFmtId="0" fontId="28" fillId="0" borderId="17" xfId="0" applyFont="1" applyBorder="1" applyAlignment="1">
      <alignment horizontal="center" wrapText="1"/>
    </xf>
    <xf numFmtId="0" fontId="28" fillId="0" borderId="15" xfId="0" applyFont="1" applyBorder="1" applyAlignment="1">
      <alignment horizontal="center" wrapText="1"/>
    </xf>
    <xf numFmtId="169" fontId="28" fillId="0" borderId="16" xfId="0" applyNumberFormat="1" applyFont="1" applyBorder="1" applyAlignment="1">
      <alignment horizontal="center" wrapText="1"/>
    </xf>
    <xf numFmtId="0" fontId="28" fillId="9" borderId="17" xfId="0" applyFont="1" applyFill="1" applyBorder="1" applyAlignment="1">
      <alignment horizontal="center" wrapText="1"/>
    </xf>
    <xf numFmtId="4" fontId="31" fillId="0" borderId="18" xfId="0" applyNumberFormat="1" applyFont="1" applyBorder="1" applyAlignment="1">
      <alignment horizontal="center" vertical="center"/>
    </xf>
    <xf numFmtId="4" fontId="31" fillId="0" borderId="19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4" fontId="31" fillId="9" borderId="20" xfId="0" applyNumberFormat="1" applyFont="1" applyFill="1" applyBorder="1" applyAlignment="1">
      <alignment horizontal="center" vertical="center" wrapText="1"/>
    </xf>
    <xf numFmtId="4" fontId="29" fillId="0" borderId="24" xfId="0" applyNumberFormat="1" applyFont="1" applyBorder="1" applyAlignment="1">
      <alignment horizontal="right" wrapText="1"/>
    </xf>
    <xf numFmtId="0" fontId="29" fillId="0" borderId="33" xfId="0" applyFont="1" applyBorder="1" applyAlignment="1">
      <alignment horizontal="right" wrapText="1"/>
    </xf>
    <xf numFmtId="4" fontId="29" fillId="0" borderId="33" xfId="0" applyNumberFormat="1" applyFont="1" applyBorder="1" applyAlignment="1">
      <alignment vertical="center" wrapText="1"/>
    </xf>
    <xf numFmtId="4" fontId="29" fillId="0" borderId="0" xfId="0" applyNumberFormat="1" applyFont="1" applyAlignment="1">
      <alignment horizontal="right" vertical="center" wrapText="1"/>
    </xf>
    <xf numFmtId="0" fontId="29" fillId="0" borderId="33" xfId="0" applyFont="1" applyBorder="1" applyAlignment="1">
      <alignment horizontal="right" vertical="center" wrapText="1"/>
    </xf>
    <xf numFmtId="4" fontId="29" fillId="0" borderId="33" xfId="0" applyNumberFormat="1" applyFont="1" applyBorder="1" applyAlignment="1">
      <alignment vertical="center"/>
    </xf>
    <xf numFmtId="4" fontId="28" fillId="10" borderId="0" xfId="0" applyNumberFormat="1" applyFont="1" applyFill="1" applyAlignment="1">
      <alignment horizontal="right" wrapText="1"/>
    </xf>
    <xf numFmtId="4" fontId="29" fillId="10" borderId="0" xfId="0" applyNumberFormat="1" applyFont="1" applyFill="1" applyAlignment="1">
      <alignment horizontal="right" wrapText="1"/>
    </xf>
    <xf numFmtId="4" fontId="29" fillId="10" borderId="24" xfId="0" applyNumberFormat="1" applyFont="1" applyFill="1" applyBorder="1" applyAlignment="1">
      <alignment horizontal="right" wrapText="1"/>
    </xf>
    <xf numFmtId="0" fontId="28" fillId="10" borderId="33" xfId="0" applyFont="1" applyFill="1" applyBorder="1" applyAlignment="1">
      <alignment horizontal="right" wrapText="1"/>
    </xf>
    <xf numFmtId="4" fontId="28" fillId="10" borderId="33" xfId="0" applyNumberFormat="1" applyFont="1" applyFill="1" applyBorder="1" applyAlignment="1">
      <alignment horizontal="right" wrapText="1"/>
    </xf>
    <xf numFmtId="4" fontId="28" fillId="0" borderId="0" xfId="0" applyNumberFormat="1" applyFont="1" applyAlignment="1">
      <alignment horizontal="right" wrapText="1"/>
    </xf>
    <xf numFmtId="0" fontId="28" fillId="0" borderId="33" xfId="0" applyFont="1" applyBorder="1" applyAlignment="1">
      <alignment horizontal="right" wrapText="1"/>
    </xf>
    <xf numFmtId="4" fontId="28" fillId="7" borderId="0" xfId="0" applyNumberFormat="1" applyFont="1" applyFill="1" applyAlignment="1">
      <alignment horizontal="right" wrapText="1"/>
    </xf>
    <xf numFmtId="4" fontId="29" fillId="7" borderId="0" xfId="0" applyNumberFormat="1" applyFont="1" applyFill="1" applyAlignment="1">
      <alignment horizontal="right" wrapText="1"/>
    </xf>
    <xf numFmtId="4" fontId="29" fillId="7" borderId="24" xfId="0" applyNumberFormat="1" applyFont="1" applyFill="1" applyBorder="1" applyAlignment="1">
      <alignment horizontal="right" wrapText="1"/>
    </xf>
    <xf numFmtId="0" fontId="29" fillId="7" borderId="33" xfId="0" applyFont="1" applyFill="1" applyBorder="1" applyAlignment="1">
      <alignment horizontal="right" wrapText="1"/>
    </xf>
    <xf numFmtId="0" fontId="28" fillId="0" borderId="19" xfId="0" applyFont="1" applyBorder="1" applyAlignment="1">
      <alignment horizontal="center" wrapText="1"/>
    </xf>
    <xf numFmtId="0" fontId="28" fillId="0" borderId="20" xfId="0" applyFont="1" applyBorder="1" applyAlignment="1">
      <alignment horizontal="center" wrapText="1"/>
    </xf>
    <xf numFmtId="0" fontId="28" fillId="0" borderId="18" xfId="0" applyFont="1" applyBorder="1" applyAlignment="1">
      <alignment horizontal="center" wrapText="1"/>
    </xf>
    <xf numFmtId="0" fontId="28" fillId="0" borderId="0" xfId="0" applyFont="1" applyAlignment="1">
      <alignment horizontal="center" wrapText="1"/>
    </xf>
    <xf numFmtId="4" fontId="30" fillId="0" borderId="33" xfId="0" applyNumberFormat="1" applyFont="1" applyBorder="1" applyAlignment="1">
      <alignment horizontal="center" vertical="center"/>
    </xf>
    <xf numFmtId="0" fontId="28" fillId="6" borderId="15" xfId="0" applyFont="1" applyFill="1" applyBorder="1" applyAlignment="1">
      <alignment horizontal="center" wrapText="1"/>
    </xf>
    <xf numFmtId="0" fontId="31" fillId="0" borderId="19" xfId="0" applyFont="1" applyBorder="1" applyAlignment="1">
      <alignment horizontal="center" vertical="center" wrapText="1"/>
    </xf>
    <xf numFmtId="4" fontId="29" fillId="6" borderId="33" xfId="0" applyNumberFormat="1" applyFont="1" applyFill="1" applyBorder="1" applyAlignment="1">
      <alignment horizontal="right" wrapText="1"/>
    </xf>
    <xf numFmtId="1" fontId="29" fillId="0" borderId="0" xfId="0" applyNumberFormat="1" applyFont="1" applyAlignment="1">
      <alignment horizontal="right" wrapText="1"/>
    </xf>
    <xf numFmtId="49" fontId="28" fillId="10" borderId="0" xfId="0" applyNumberFormat="1" applyFont="1" applyFill="1" applyAlignment="1">
      <alignment horizontal="right" wrapText="1"/>
    </xf>
    <xf numFmtId="4" fontId="29" fillId="10" borderId="33" xfId="0" applyNumberFormat="1" applyFont="1" applyFill="1" applyBorder="1" applyAlignment="1">
      <alignment horizontal="right" wrapText="1"/>
    </xf>
    <xf numFmtId="4" fontId="29" fillId="0" borderId="33" xfId="0" applyNumberFormat="1" applyFont="1" applyBorder="1" applyAlignment="1">
      <alignment horizontal="right" wrapText="1"/>
    </xf>
    <xf numFmtId="4" fontId="29" fillId="0" borderId="0" xfId="0" applyNumberFormat="1" applyFont="1" applyAlignment="1">
      <alignment horizontal="left" wrapText="1"/>
    </xf>
    <xf numFmtId="49" fontId="28" fillId="7" borderId="0" xfId="0" applyNumberFormat="1" applyFont="1" applyFill="1" applyAlignment="1">
      <alignment horizontal="right" wrapText="1"/>
    </xf>
    <xf numFmtId="4" fontId="29" fillId="7" borderId="33" xfId="0" applyNumberFormat="1" applyFont="1" applyFill="1" applyBorder="1" applyAlignment="1">
      <alignment horizontal="right" wrapText="1"/>
    </xf>
    <xf numFmtId="0" fontId="28" fillId="6" borderId="18" xfId="0" applyFont="1" applyFill="1" applyBorder="1" applyAlignment="1">
      <alignment horizontal="center" wrapText="1"/>
    </xf>
    <xf numFmtId="0" fontId="28" fillId="0" borderId="0" xfId="0" applyFont="1" applyAlignment="1">
      <alignment horizontal="right" wrapText="1"/>
    </xf>
    <xf numFmtId="4" fontId="30" fillId="0" borderId="15" xfId="0" applyNumberFormat="1" applyFont="1" applyBorder="1" applyAlignment="1">
      <alignment horizontal="center" vertical="center"/>
    </xf>
    <xf numFmtId="4" fontId="33" fillId="0" borderId="18" xfId="0" applyNumberFormat="1" applyFont="1" applyBorder="1" applyAlignment="1">
      <alignment horizontal="center" vertical="center"/>
    </xf>
    <xf numFmtId="4" fontId="33" fillId="0" borderId="33" xfId="0" applyNumberFormat="1" applyFont="1" applyBorder="1" applyAlignment="1">
      <alignment horizontal="center" vertical="center"/>
    </xf>
    <xf numFmtId="4" fontId="33" fillId="0" borderId="0" xfId="0" applyNumberFormat="1" applyFont="1" applyAlignment="1">
      <alignment horizontal="center" vertical="center" wrapText="1"/>
    </xf>
    <xf numFmtId="4" fontId="33" fillId="0" borderId="24" xfId="0" applyNumberFormat="1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4" fontId="33" fillId="6" borderId="33" xfId="0" applyNumberFormat="1" applyFont="1" applyFill="1" applyBorder="1" applyAlignment="1">
      <alignment horizontal="center" vertical="center" wrapText="1"/>
    </xf>
    <xf numFmtId="4" fontId="29" fillId="0" borderId="33" xfId="0" applyNumberFormat="1" applyFont="1" applyBorder="1" applyAlignment="1">
      <alignment wrapText="1"/>
    </xf>
    <xf numFmtId="49" fontId="29" fillId="0" borderId="33" xfId="0" applyNumberFormat="1" applyFont="1" applyBorder="1" applyAlignment="1">
      <alignment horizontal="right" wrapText="1"/>
    </xf>
    <xf numFmtId="4" fontId="28" fillId="7" borderId="24" xfId="0" applyNumberFormat="1" applyFont="1" applyFill="1" applyBorder="1" applyAlignment="1">
      <alignment horizontal="right" wrapText="1"/>
    </xf>
    <xf numFmtId="4" fontId="28" fillId="7" borderId="33" xfId="0" applyNumberFormat="1" applyFont="1" applyFill="1" applyBorder="1" applyAlignment="1">
      <alignment horizontal="right" wrapText="1"/>
    </xf>
    <xf numFmtId="0" fontId="28" fillId="0" borderId="24" xfId="0" applyFont="1" applyBorder="1" applyAlignment="1">
      <alignment horizontal="center" wrapText="1"/>
    </xf>
    <xf numFmtId="0" fontId="28" fillId="0" borderId="33" xfId="0" applyFont="1" applyBorder="1" applyAlignment="1">
      <alignment horizontal="center" wrapText="1"/>
    </xf>
    <xf numFmtId="0" fontId="28" fillId="6" borderId="33" xfId="0" applyFont="1" applyFill="1" applyBorder="1" applyAlignment="1">
      <alignment horizontal="center" wrapText="1"/>
    </xf>
    <xf numFmtId="4" fontId="29" fillId="0" borderId="19" xfId="0" applyNumberFormat="1" applyFont="1" applyBorder="1" applyAlignment="1">
      <alignment horizontal="right" wrapText="1"/>
    </xf>
    <xf numFmtId="4" fontId="29" fillId="0" borderId="20" xfId="0" applyNumberFormat="1" applyFont="1" applyBorder="1" applyAlignment="1">
      <alignment horizontal="right" wrapText="1"/>
    </xf>
    <xf numFmtId="0" fontId="29" fillId="0" borderId="18" xfId="0" applyFont="1" applyBorder="1" applyAlignment="1">
      <alignment horizontal="right" wrapText="1"/>
    </xf>
    <xf numFmtId="49" fontId="29" fillId="0" borderId="19" xfId="0" applyNumberFormat="1" applyFont="1" applyBorder="1" applyAlignment="1">
      <alignment horizontal="right" wrapText="1"/>
    </xf>
    <xf numFmtId="4" fontId="29" fillId="6" borderId="18" xfId="0" applyNumberFormat="1" applyFont="1" applyFill="1" applyBorder="1" applyAlignment="1">
      <alignment horizontal="right" wrapText="1"/>
    </xf>
    <xf numFmtId="0" fontId="33" fillId="0" borderId="0" xfId="0" applyFont="1" applyAlignment="1">
      <alignment horizontal="center" vertical="center" wrapText="1"/>
    </xf>
    <xf numFmtId="4" fontId="28" fillId="10" borderId="24" xfId="0" applyNumberFormat="1" applyFont="1" applyFill="1" applyBorder="1" applyAlignment="1">
      <alignment horizontal="right" wrapText="1"/>
    </xf>
    <xf numFmtId="49" fontId="29" fillId="0" borderId="0" xfId="0" applyNumberFormat="1" applyFont="1" applyAlignment="1">
      <alignment horizontal="right" vertical="center" wrapText="1"/>
    </xf>
    <xf numFmtId="0" fontId="28" fillId="10" borderId="0" xfId="0" applyFont="1" applyFill="1" applyAlignment="1">
      <alignment horizontal="right" wrapText="1"/>
    </xf>
    <xf numFmtId="4" fontId="28" fillId="0" borderId="24" xfId="0" applyNumberFormat="1" applyFont="1" applyBorder="1" applyAlignment="1">
      <alignment horizontal="right" wrapText="1"/>
    </xf>
    <xf numFmtId="49" fontId="28" fillId="0" borderId="0" xfId="0" applyNumberFormat="1" applyFont="1" applyAlignment="1">
      <alignment horizontal="right" wrapText="1"/>
    </xf>
    <xf numFmtId="4" fontId="28" fillId="6" borderId="33" xfId="0" applyNumberFormat="1" applyFont="1" applyFill="1" applyBorder="1" applyAlignment="1">
      <alignment horizontal="right" wrapText="1"/>
    </xf>
    <xf numFmtId="4" fontId="28" fillId="6" borderId="24" xfId="0" applyNumberFormat="1" applyFont="1" applyFill="1" applyBorder="1" applyAlignment="1">
      <alignment horizontal="right" wrapText="1"/>
    </xf>
    <xf numFmtId="4" fontId="28" fillId="0" borderId="33" xfId="0" applyNumberFormat="1" applyFont="1" applyBorder="1" applyAlignment="1">
      <alignment horizontal="right" wrapText="1"/>
    </xf>
    <xf numFmtId="4" fontId="28" fillId="9" borderId="24" xfId="0" applyNumberFormat="1" applyFont="1" applyFill="1" applyBorder="1" applyAlignment="1">
      <alignment horizontal="right" wrapText="1"/>
    </xf>
    <xf numFmtId="0" fontId="28" fillId="6" borderId="16" xfId="0" applyFont="1" applyFill="1" applyBorder="1" applyAlignment="1">
      <alignment horizontal="center" wrapText="1"/>
    </xf>
    <xf numFmtId="4" fontId="33" fillId="0" borderId="27" xfId="0" applyNumberFormat="1" applyFont="1" applyBorder="1" applyAlignment="1">
      <alignment horizontal="center" vertical="center"/>
    </xf>
    <xf numFmtId="4" fontId="33" fillId="6" borderId="0" xfId="0" applyNumberFormat="1" applyFont="1" applyFill="1" applyAlignment="1">
      <alignment horizontal="center" vertical="center" wrapText="1"/>
    </xf>
    <xf numFmtId="4" fontId="29" fillId="6" borderId="0" xfId="0" applyNumberFormat="1" applyFont="1" applyFill="1" applyAlignment="1">
      <alignment horizontal="right" wrapText="1"/>
    </xf>
    <xf numFmtId="0" fontId="28" fillId="6" borderId="19" xfId="0" applyFont="1" applyFill="1" applyBorder="1" applyAlignment="1">
      <alignment horizontal="center" wrapText="1"/>
    </xf>
    <xf numFmtId="4" fontId="34" fillId="0" borderId="33" xfId="0" applyNumberFormat="1" applyFont="1" applyBorder="1" applyAlignment="1">
      <alignment horizontal="center" wrapText="1"/>
    </xf>
    <xf numFmtId="4" fontId="34" fillId="0" borderId="0" xfId="0" applyNumberFormat="1" applyFont="1" applyAlignment="1">
      <alignment horizontal="right" wrapText="1"/>
    </xf>
    <xf numFmtId="49" fontId="34" fillId="0" borderId="24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3" fontId="34" fillId="0" borderId="0" xfId="0" applyNumberFormat="1" applyFont="1" applyAlignment="1">
      <alignment horizontal="right" wrapText="1"/>
    </xf>
    <xf numFmtId="4" fontId="29" fillId="0" borderId="33" xfId="0" applyNumberFormat="1" applyFont="1" applyBorder="1" applyAlignment="1">
      <alignment horizontal="center" wrapText="1"/>
    </xf>
    <xf numFmtId="49" fontId="29" fillId="0" borderId="24" xfId="0" applyNumberFormat="1" applyFont="1" applyBorder="1" applyAlignment="1">
      <alignment horizontal="right" wrapText="1"/>
    </xf>
    <xf numFmtId="3" fontId="29" fillId="0" borderId="0" xfId="0" applyNumberFormat="1" applyFont="1" applyAlignment="1">
      <alignment horizontal="right" wrapText="1"/>
    </xf>
    <xf numFmtId="4" fontId="29" fillId="10" borderId="33" xfId="0" applyNumberFormat="1" applyFont="1" applyFill="1" applyBorder="1" applyAlignment="1">
      <alignment horizontal="center" wrapText="1"/>
    </xf>
    <xf numFmtId="4" fontId="28" fillId="10" borderId="33" xfId="0" applyNumberFormat="1" applyFont="1" applyFill="1" applyBorder="1" applyAlignment="1">
      <alignment horizontal="center" wrapText="1"/>
    </xf>
    <xf numFmtId="4" fontId="28" fillId="0" borderId="33" xfId="0" applyNumberFormat="1" applyFont="1" applyBorder="1" applyAlignment="1">
      <alignment horizontal="center" wrapText="1"/>
    </xf>
    <xf numFmtId="4" fontId="28" fillId="7" borderId="33" xfId="0" applyNumberFormat="1" applyFont="1" applyFill="1" applyBorder="1" applyAlignment="1">
      <alignment horizontal="center" wrapText="1"/>
    </xf>
    <xf numFmtId="0" fontId="29" fillId="0" borderId="19" xfId="0" applyFont="1" applyBorder="1" applyAlignment="1">
      <alignment horizontal="right" wrapText="1"/>
    </xf>
    <xf numFmtId="0" fontId="29" fillId="0" borderId="33" xfId="0" applyFont="1" applyBorder="1" applyAlignment="1">
      <alignment horizontal="left"/>
    </xf>
    <xf numFmtId="4" fontId="29" fillId="0" borderId="24" xfId="0" applyNumberFormat="1" applyFont="1" applyBorder="1" applyAlignment="1">
      <alignment horizontal="right" vertical="center" wrapText="1"/>
    </xf>
    <xf numFmtId="4" fontId="29" fillId="6" borderId="24" xfId="0" applyNumberFormat="1" applyFont="1" applyFill="1" applyBorder="1" applyAlignment="1">
      <alignment horizontal="right" wrapText="1"/>
    </xf>
    <xf numFmtId="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49" fontId="34" fillId="0" borderId="0" xfId="0" applyNumberFormat="1" applyFont="1" applyAlignment="1">
      <alignment horizontal="right" wrapText="1"/>
    </xf>
    <xf numFmtId="4" fontId="28" fillId="11" borderId="0" xfId="0" applyNumberFormat="1" applyFont="1" applyFill="1" applyAlignment="1">
      <alignment horizontal="right" wrapText="1"/>
    </xf>
    <xf numFmtId="0" fontId="28" fillId="11" borderId="0" xfId="0" applyFont="1" applyFill="1" applyAlignment="1">
      <alignment horizontal="right" wrapText="1"/>
    </xf>
    <xf numFmtId="49" fontId="28" fillId="11" borderId="0" xfId="0" applyNumberFormat="1" applyFont="1" applyFill="1" applyAlignment="1">
      <alignment horizontal="right" wrapText="1"/>
    </xf>
    <xf numFmtId="4" fontId="31" fillId="0" borderId="18" xfId="0" applyNumberFormat="1" applyFont="1" applyBorder="1" applyAlignment="1">
      <alignment horizontal="center" vertical="center" wrapText="1"/>
    </xf>
    <xf numFmtId="4" fontId="33" fillId="0" borderId="33" xfId="0" applyNumberFormat="1" applyFont="1" applyBorder="1" applyAlignment="1">
      <alignment horizontal="center" vertical="center" wrapText="1"/>
    </xf>
    <xf numFmtId="4" fontId="28" fillId="12" borderId="0" xfId="0" applyNumberFormat="1" applyFont="1" applyFill="1" applyAlignment="1">
      <alignment horizontal="right" wrapText="1"/>
    </xf>
    <xf numFmtId="4" fontId="28" fillId="12" borderId="24" xfId="0" applyNumberFormat="1" applyFont="1" applyFill="1" applyBorder="1" applyAlignment="1">
      <alignment horizontal="right" wrapText="1"/>
    </xf>
    <xf numFmtId="4" fontId="28" fillId="12" borderId="33" xfId="0" applyNumberFormat="1" applyFont="1" applyFill="1" applyBorder="1" applyAlignment="1">
      <alignment horizontal="right" wrapText="1"/>
    </xf>
    <xf numFmtId="4" fontId="29" fillId="0" borderId="18" xfId="0" applyNumberFormat="1" applyFont="1" applyBorder="1" applyAlignment="1">
      <alignment horizontal="right" wrapText="1"/>
    </xf>
    <xf numFmtId="4" fontId="28" fillId="0" borderId="19" xfId="0" applyNumberFormat="1" applyFont="1" applyBorder="1" applyAlignment="1">
      <alignment horizontal="right" wrapText="1"/>
    </xf>
    <xf numFmtId="4" fontId="28" fillId="0" borderId="20" xfId="0" applyNumberFormat="1" applyFont="1" applyBorder="1" applyAlignment="1">
      <alignment horizontal="right" wrapText="1"/>
    </xf>
    <xf numFmtId="0" fontId="28" fillId="0" borderId="18" xfId="0" applyFont="1" applyBorder="1" applyAlignment="1">
      <alignment horizontal="right" wrapText="1"/>
    </xf>
    <xf numFmtId="49" fontId="28" fillId="0" borderId="19" xfId="0" applyNumberFormat="1" applyFont="1" applyBorder="1" applyAlignment="1">
      <alignment horizontal="right" wrapText="1"/>
    </xf>
    <xf numFmtId="4" fontId="28" fillId="0" borderId="18" xfId="0" applyNumberFormat="1" applyFont="1" applyBorder="1" applyAlignment="1">
      <alignment horizontal="right" wrapText="1"/>
    </xf>
    <xf numFmtId="4" fontId="31" fillId="0" borderId="0" xfId="0" applyNumberFormat="1" applyFont="1" applyAlignment="1">
      <alignment wrapText="1"/>
    </xf>
    <xf numFmtId="169" fontId="28" fillId="0" borderId="0" xfId="0" applyNumberFormat="1" applyFont="1" applyAlignment="1">
      <alignment wrapText="1"/>
    </xf>
    <xf numFmtId="4" fontId="29" fillId="0" borderId="24" xfId="0" applyNumberFormat="1" applyFont="1" applyBorder="1" applyAlignment="1">
      <alignment wrapText="1"/>
    </xf>
    <xf numFmtId="4" fontId="33" fillId="0" borderId="18" xfId="0" applyNumberFormat="1" applyFont="1" applyBorder="1" applyAlignment="1">
      <alignment horizontal="center" vertical="center" wrapText="1"/>
    </xf>
    <xf numFmtId="169" fontId="31" fillId="0" borderId="19" xfId="0" applyNumberFormat="1" applyFont="1" applyBorder="1" applyAlignment="1">
      <alignment horizontal="center" vertical="center" wrapText="1"/>
    </xf>
    <xf numFmtId="4" fontId="31" fillId="0" borderId="0" xfId="0" applyNumberFormat="1" applyFont="1" applyAlignment="1">
      <alignment horizontal="center" vertical="center" wrapText="1"/>
    </xf>
    <xf numFmtId="4" fontId="29" fillId="0" borderId="0" xfId="0" applyNumberFormat="1" applyFont="1" applyAlignment="1">
      <alignment wrapText="1"/>
    </xf>
    <xf numFmtId="4" fontId="28" fillId="12" borderId="33" xfId="0" applyNumberFormat="1" applyFont="1" applyFill="1" applyBorder="1" applyAlignment="1">
      <alignment horizontal="center" wrapText="1"/>
    </xf>
    <xf numFmtId="4" fontId="29" fillId="0" borderId="18" xfId="0" applyNumberFormat="1" applyFont="1" applyBorder="1" applyAlignment="1">
      <alignment wrapText="1"/>
    </xf>
    <xf numFmtId="4" fontId="29" fillId="0" borderId="18" xfId="0" applyNumberFormat="1" applyFont="1" applyBorder="1" applyAlignment="1">
      <alignment horizontal="center" wrapText="1"/>
    </xf>
    <xf numFmtId="4" fontId="29" fillId="0" borderId="20" xfId="0" applyNumberFormat="1" applyFont="1" applyBorder="1" applyAlignment="1">
      <alignment wrapText="1"/>
    </xf>
    <xf numFmtId="4" fontId="28" fillId="0" borderId="19" xfId="0" applyNumberFormat="1" applyFont="1" applyBorder="1" applyAlignment="1">
      <alignment wrapText="1"/>
    </xf>
    <xf numFmtId="4" fontId="29" fillId="0" borderId="19" xfId="0" applyNumberFormat="1" applyFont="1" applyBorder="1" applyAlignment="1">
      <alignment wrapText="1"/>
    </xf>
    <xf numFmtId="4" fontId="28" fillId="0" borderId="19" xfId="0" applyNumberFormat="1" applyFont="1" applyBorder="1" applyAlignment="1">
      <alignment horizontal="center" wrapText="1"/>
    </xf>
    <xf numFmtId="4" fontId="29" fillId="0" borderId="0" xfId="0" applyNumberFormat="1" applyFont="1" applyAlignment="1">
      <alignment horizontal="center" wrapText="1"/>
    </xf>
    <xf numFmtId="4" fontId="28" fillId="0" borderId="0" xfId="0" applyNumberFormat="1" applyFont="1" applyAlignment="1">
      <alignment wrapText="1"/>
    </xf>
    <xf numFmtId="4" fontId="31" fillId="0" borderId="16" xfId="0" applyNumberFormat="1" applyFont="1" applyBorder="1" applyAlignment="1">
      <alignment wrapText="1"/>
    </xf>
    <xf numFmtId="169" fontId="28" fillId="0" borderId="16" xfId="0" applyNumberFormat="1" applyFont="1" applyBorder="1" applyAlignment="1">
      <alignment wrapText="1"/>
    </xf>
    <xf numFmtId="4" fontId="29" fillId="0" borderId="17" xfId="0" applyNumberFormat="1" applyFont="1" applyBorder="1" applyAlignment="1">
      <alignment wrapText="1"/>
    </xf>
    <xf numFmtId="4" fontId="28" fillId="0" borderId="18" xfId="0" applyNumberFormat="1" applyFont="1" applyBorder="1" applyAlignment="1">
      <alignment wrapText="1"/>
    </xf>
    <xf numFmtId="4" fontId="28" fillId="0" borderId="18" xfId="0" applyNumberFormat="1" applyFont="1" applyBorder="1" applyAlignment="1">
      <alignment horizontal="center" wrapText="1"/>
    </xf>
    <xf numFmtId="0" fontId="28" fillId="0" borderId="19" xfId="0" applyFont="1" applyBorder="1" applyAlignment="1">
      <alignment horizontal="right" wrapText="1"/>
    </xf>
    <xf numFmtId="4" fontId="28" fillId="0" borderId="20" xfId="0" applyNumberFormat="1" applyFont="1" applyBorder="1" applyAlignment="1">
      <alignment wrapText="1"/>
    </xf>
    <xf numFmtId="4" fontId="31" fillId="0" borderId="15" xfId="0" applyNumberFormat="1" applyFont="1" applyBorder="1" applyAlignment="1">
      <alignment wrapText="1"/>
    </xf>
    <xf numFmtId="169" fontId="31" fillId="0" borderId="18" xfId="0" applyNumberFormat="1" applyFont="1" applyBorder="1" applyAlignment="1">
      <alignment horizontal="center" vertical="center" wrapText="1"/>
    </xf>
    <xf numFmtId="4" fontId="28" fillId="0" borderId="24" xfId="0" applyNumberFormat="1" applyFont="1" applyBorder="1" applyAlignment="1">
      <alignment wrapText="1"/>
    </xf>
    <xf numFmtId="4" fontId="28" fillId="0" borderId="33" xfId="0" applyNumberFormat="1" applyFont="1" applyBorder="1" applyAlignment="1">
      <alignment wrapText="1"/>
    </xf>
    <xf numFmtId="4" fontId="28" fillId="10" borderId="33" xfId="0" applyNumberFormat="1" applyFont="1" applyFill="1" applyBorder="1" applyAlignment="1">
      <alignment wrapText="1"/>
    </xf>
    <xf numFmtId="49" fontId="29" fillId="0" borderId="33" xfId="0" applyNumberFormat="1" applyFont="1" applyBorder="1" applyAlignment="1">
      <alignment horizontal="right" vertical="center" wrapText="1"/>
    </xf>
    <xf numFmtId="4" fontId="29" fillId="0" borderId="0" xfId="0" applyNumberFormat="1" applyFont="1" applyAlignment="1">
      <alignment vertical="center" wrapText="1"/>
    </xf>
    <xf numFmtId="4" fontId="28" fillId="0" borderId="0" xfId="0" applyNumberFormat="1" applyFont="1" applyAlignment="1">
      <alignment horizontal="center" wrapText="1"/>
    </xf>
    <xf numFmtId="4" fontId="29" fillId="0" borderId="33" xfId="0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4" fontId="29" fillId="0" borderId="24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" fontId="28" fillId="0" borderId="0" xfId="0" applyNumberFormat="1" applyFont="1" applyAlignment="1">
      <alignment horizontal="center" vertical="center" wrapText="1"/>
    </xf>
    <xf numFmtId="4" fontId="29" fillId="0" borderId="33" xfId="0" applyNumberFormat="1" applyFont="1" applyBorder="1" applyAlignment="1">
      <alignment horizontal="right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49" fontId="29" fillId="0" borderId="33" xfId="0" applyNumberFormat="1" applyFont="1" applyBorder="1" applyAlignment="1">
      <alignment horizontal="center" vertical="center" wrapText="1"/>
    </xf>
    <xf numFmtId="4" fontId="29" fillId="12" borderId="33" xfId="0" applyNumberFormat="1" applyFont="1" applyFill="1" applyBorder="1" applyAlignment="1">
      <alignment horizontal="center" wrapText="1"/>
    </xf>
    <xf numFmtId="4" fontId="29" fillId="0" borderId="24" xfId="0" applyNumberFormat="1" applyFont="1" applyBorder="1" applyAlignment="1">
      <alignment horizontal="center" wrapText="1"/>
    </xf>
    <xf numFmtId="4" fontId="28" fillId="0" borderId="20" xfId="0" applyNumberFormat="1" applyFont="1" applyBorder="1" applyAlignment="1">
      <alignment horizontal="center" wrapText="1"/>
    </xf>
    <xf numFmtId="4" fontId="33" fillId="0" borderId="15" xfId="0" applyNumberFormat="1" applyFont="1" applyBorder="1" applyAlignment="1">
      <alignment horizontal="center" vertical="center" wrapText="1"/>
    </xf>
    <xf numFmtId="4" fontId="33" fillId="0" borderId="16" xfId="0" applyNumberFormat="1" applyFont="1" applyBorder="1" applyAlignment="1">
      <alignment horizontal="center" vertical="center" wrapText="1"/>
    </xf>
    <xf numFmtId="4" fontId="33" fillId="0" borderId="17" xfId="0" applyNumberFormat="1" applyFont="1" applyBorder="1" applyAlignment="1">
      <alignment horizontal="center" vertical="center" wrapText="1"/>
    </xf>
    <xf numFmtId="169" fontId="31" fillId="0" borderId="16" xfId="0" applyNumberFormat="1" applyFont="1" applyBorder="1" applyAlignment="1">
      <alignment wrapText="1"/>
    </xf>
    <xf numFmtId="4" fontId="33" fillId="0" borderId="17" xfId="0" applyNumberFormat="1" applyFont="1" applyBorder="1" applyAlignment="1">
      <alignment wrapText="1"/>
    </xf>
    <xf numFmtId="2" fontId="31" fillId="0" borderId="19" xfId="0" applyNumberFormat="1" applyFont="1" applyBorder="1" applyAlignment="1">
      <alignment horizontal="center" vertical="center" wrapText="1"/>
    </xf>
    <xf numFmtId="4" fontId="33" fillId="0" borderId="19" xfId="0" applyNumberFormat="1" applyFont="1" applyBorder="1" applyAlignment="1">
      <alignment horizontal="center" vertical="center" wrapText="1"/>
    </xf>
    <xf numFmtId="4" fontId="33" fillId="0" borderId="20" xfId="0" applyNumberFormat="1" applyFont="1" applyBorder="1" applyAlignment="1">
      <alignment horizontal="center" vertical="center" wrapText="1"/>
    </xf>
    <xf numFmtId="2" fontId="33" fillId="0" borderId="0" xfId="0" applyNumberFormat="1" applyFont="1" applyAlignment="1">
      <alignment horizontal="center" vertical="center" wrapText="1"/>
    </xf>
    <xf numFmtId="4" fontId="33" fillId="0" borderId="0" xfId="0" applyNumberFormat="1" applyFont="1" applyAlignment="1">
      <alignment horizontal="right" wrapText="1"/>
    </xf>
    <xf numFmtId="4" fontId="33" fillId="0" borderId="0" xfId="0" applyNumberFormat="1" applyFont="1" applyAlignment="1">
      <alignment wrapText="1"/>
    </xf>
    <xf numFmtId="4" fontId="33" fillId="0" borderId="24" xfId="0" applyNumberFormat="1" applyFont="1" applyBorder="1" applyAlignment="1">
      <alignment wrapText="1"/>
    </xf>
    <xf numFmtId="4" fontId="33" fillId="0" borderId="33" xfId="0" applyNumberFormat="1" applyFont="1" applyBorder="1" applyAlignment="1">
      <alignment horizontal="center" wrapText="1"/>
    </xf>
    <xf numFmtId="4" fontId="33" fillId="0" borderId="24" xfId="2" applyNumberFormat="1" applyFont="1" applyFill="1" applyBorder="1" applyAlignment="1" applyProtection="1">
      <alignment wrapText="1"/>
    </xf>
    <xf numFmtId="4" fontId="33" fillId="0" borderId="33" xfId="0" applyNumberFormat="1" applyFont="1" applyBorder="1" applyAlignment="1">
      <alignment vertical="center" wrapText="1"/>
    </xf>
    <xf numFmtId="2" fontId="33" fillId="0" borderId="0" xfId="0" applyNumberFormat="1" applyFont="1" applyAlignment="1">
      <alignment wrapText="1"/>
    </xf>
    <xf numFmtId="4" fontId="33" fillId="0" borderId="0" xfId="0" applyNumberFormat="1" applyFont="1" applyAlignment="1">
      <alignment vertical="center" wrapText="1"/>
    </xf>
    <xf numFmtId="4" fontId="33" fillId="0" borderId="24" xfId="0" applyNumberFormat="1" applyFont="1" applyBorder="1" applyAlignment="1">
      <alignment vertical="center" wrapText="1"/>
    </xf>
    <xf numFmtId="4" fontId="33" fillId="0" borderId="33" xfId="0" applyNumberFormat="1" applyFont="1" applyBorder="1" applyAlignment="1">
      <alignment wrapText="1"/>
    </xf>
    <xf numFmtId="4" fontId="31" fillId="0" borderId="33" xfId="0" applyNumberFormat="1" applyFont="1" applyBorder="1" applyAlignment="1">
      <alignment wrapText="1"/>
    </xf>
    <xf numFmtId="4" fontId="31" fillId="0" borderId="33" xfId="0" applyNumberFormat="1" applyFont="1" applyBorder="1" applyAlignment="1">
      <alignment horizontal="center" wrapText="1"/>
    </xf>
    <xf numFmtId="4" fontId="31" fillId="0" borderId="24" xfId="0" applyNumberFormat="1" applyFont="1" applyBorder="1" applyAlignment="1">
      <alignment wrapText="1"/>
    </xf>
    <xf numFmtId="4" fontId="31" fillId="0" borderId="33" xfId="0" applyNumberFormat="1" applyFont="1" applyBorder="1" applyAlignment="1">
      <alignment vertical="center" wrapText="1"/>
    </xf>
    <xf numFmtId="4" fontId="31" fillId="0" borderId="0" xfId="0" applyNumberFormat="1" applyFont="1" applyAlignment="1">
      <alignment vertical="center" wrapText="1"/>
    </xf>
    <xf numFmtId="4" fontId="31" fillId="0" borderId="24" xfId="0" applyNumberFormat="1" applyFont="1" applyBorder="1" applyAlignment="1">
      <alignment vertical="center" wrapText="1"/>
    </xf>
    <xf numFmtId="4" fontId="33" fillId="0" borderId="0" xfId="2" applyNumberFormat="1" applyFont="1" applyFill="1" applyBorder="1" applyAlignment="1" applyProtection="1">
      <alignment wrapText="1"/>
    </xf>
    <xf numFmtId="4" fontId="31" fillId="0" borderId="0" xfId="2" applyNumberFormat="1" applyFont="1" applyFill="1" applyBorder="1" applyAlignment="1" applyProtection="1">
      <alignment wrapText="1"/>
    </xf>
    <xf numFmtId="4" fontId="31" fillId="0" borderId="24" xfId="2" applyNumberFormat="1" applyFont="1" applyFill="1" applyBorder="1" applyAlignment="1" applyProtection="1">
      <alignment wrapText="1"/>
    </xf>
    <xf numFmtId="4" fontId="31" fillId="0" borderId="33" xfId="2" applyNumberFormat="1" applyFont="1" applyFill="1" applyBorder="1" applyAlignment="1" applyProtection="1">
      <alignment wrapText="1"/>
    </xf>
    <xf numFmtId="2" fontId="31" fillId="0" borderId="0" xfId="0" applyNumberFormat="1" applyFont="1" applyAlignment="1">
      <alignment wrapText="1"/>
    </xf>
    <xf numFmtId="4" fontId="31" fillId="12" borderId="33" xfId="0" applyNumberFormat="1" applyFont="1" applyFill="1" applyBorder="1" applyAlignment="1">
      <alignment wrapText="1"/>
    </xf>
    <xf numFmtId="4" fontId="31" fillId="12" borderId="33" xfId="0" applyNumberFormat="1" applyFont="1" applyFill="1" applyBorder="1" applyAlignment="1">
      <alignment horizontal="center" wrapText="1"/>
    </xf>
    <xf numFmtId="4" fontId="31" fillId="12" borderId="0" xfId="0" applyNumberFormat="1" applyFont="1" applyFill="1" applyAlignment="1">
      <alignment wrapText="1"/>
    </xf>
    <xf numFmtId="4" fontId="31" fillId="12" borderId="24" xfId="0" applyNumberFormat="1" applyFont="1" applyFill="1" applyBorder="1" applyAlignment="1">
      <alignment wrapText="1"/>
    </xf>
    <xf numFmtId="4" fontId="31" fillId="12" borderId="18" xfId="0" applyNumberFormat="1" applyFont="1" applyFill="1" applyBorder="1" applyAlignment="1">
      <alignment wrapText="1"/>
    </xf>
    <xf numFmtId="4" fontId="33" fillId="12" borderId="19" xfId="0" applyNumberFormat="1" applyFont="1" applyFill="1" applyBorder="1" applyAlignment="1">
      <alignment vertical="center" wrapText="1"/>
    </xf>
    <xf numFmtId="4" fontId="31" fillId="12" borderId="19" xfId="0" applyNumberFormat="1" applyFont="1" applyFill="1" applyBorder="1" applyAlignment="1">
      <alignment wrapText="1"/>
    </xf>
    <xf numFmtId="4" fontId="31" fillId="12" borderId="20" xfId="0" applyNumberFormat="1" applyFont="1" applyFill="1" applyBorder="1" applyAlignment="1">
      <alignment wrapText="1"/>
    </xf>
    <xf numFmtId="4" fontId="33" fillId="0" borderId="18" xfId="0" applyNumberFormat="1" applyFont="1" applyBorder="1" applyAlignment="1">
      <alignment horizontal="center" wrapText="1"/>
    </xf>
    <xf numFmtId="4" fontId="33" fillId="0" borderId="19" xfId="0" applyNumberFormat="1" applyFont="1" applyBorder="1" applyAlignment="1">
      <alignment horizontal="right" wrapText="1"/>
    </xf>
    <xf numFmtId="4" fontId="33" fillId="0" borderId="20" xfId="0" applyNumberFormat="1" applyFont="1" applyBorder="1" applyAlignment="1">
      <alignment horizontal="right" wrapText="1"/>
    </xf>
    <xf numFmtId="0" fontId="33" fillId="0" borderId="19" xfId="0" applyFont="1" applyBorder="1" applyAlignment="1">
      <alignment horizontal="right" wrapText="1"/>
    </xf>
    <xf numFmtId="49" fontId="33" fillId="0" borderId="19" xfId="0" applyNumberFormat="1" applyFont="1" applyBorder="1" applyAlignment="1">
      <alignment horizontal="right" wrapText="1"/>
    </xf>
    <xf numFmtId="4" fontId="33" fillId="0" borderId="19" xfId="0" applyNumberFormat="1" applyFont="1" applyBorder="1" applyAlignment="1">
      <alignment wrapText="1"/>
    </xf>
    <xf numFmtId="4" fontId="33" fillId="0" borderId="20" xfId="0" applyNumberFormat="1" applyFont="1" applyBorder="1" applyAlignment="1">
      <alignment wrapText="1"/>
    </xf>
    <xf numFmtId="169" fontId="28" fillId="0" borderId="0" xfId="0" applyNumberFormat="1" applyFont="1" applyAlignment="1">
      <alignment horizontal="center" wrapText="1"/>
    </xf>
    <xf numFmtId="169" fontId="28" fillId="0" borderId="0" xfId="0" applyNumberFormat="1" applyFont="1" applyAlignment="1">
      <alignment horizontal="right" wrapText="1"/>
    </xf>
    <xf numFmtId="169" fontId="28" fillId="0" borderId="24" xfId="0" applyNumberFormat="1" applyFont="1" applyBorder="1" applyAlignment="1">
      <alignment horizontal="right" wrapText="1"/>
    </xf>
    <xf numFmtId="4" fontId="28" fillId="14" borderId="0" xfId="0" applyNumberFormat="1" applyFont="1" applyFill="1" applyAlignment="1">
      <alignment wrapText="1"/>
    </xf>
    <xf numFmtId="169" fontId="28" fillId="14" borderId="0" xfId="0" applyNumberFormat="1" applyFont="1" applyFill="1" applyAlignment="1">
      <alignment wrapText="1"/>
    </xf>
    <xf numFmtId="4" fontId="28" fillId="14" borderId="24" xfId="0" applyNumberFormat="1" applyFont="1" applyFill="1" applyBorder="1" applyAlignment="1">
      <alignment wrapText="1"/>
    </xf>
    <xf numFmtId="0" fontId="33" fillId="0" borderId="33" xfId="0" applyFont="1" applyBorder="1" applyAlignment="1">
      <alignment vertical="center" wrapText="1"/>
    </xf>
    <xf numFmtId="4" fontId="31" fillId="0" borderId="0" xfId="0" applyNumberFormat="1" applyFont="1" applyAlignment="1">
      <alignment horizontal="center" wrapText="1"/>
    </xf>
    <xf numFmtId="0" fontId="28" fillId="0" borderId="16" xfId="0" applyFont="1" applyBorder="1" applyAlignment="1">
      <alignment vertic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9" fillId="0" borderId="24" xfId="0" applyFont="1" applyBorder="1" applyAlignment="1">
      <alignment wrapText="1"/>
    </xf>
    <xf numFmtId="0" fontId="28" fillId="7" borderId="0" xfId="0" applyFont="1" applyFill="1" applyAlignment="1">
      <alignment wrapText="1"/>
    </xf>
    <xf numFmtId="0" fontId="28" fillId="7" borderId="0" xfId="0" applyFont="1" applyFill="1" applyAlignment="1">
      <alignment horizontal="center" wrapText="1"/>
    </xf>
    <xf numFmtId="0" fontId="28" fillId="7" borderId="24" xfId="0" applyFont="1" applyFill="1" applyBorder="1" applyAlignment="1">
      <alignment horizontal="center" wrapText="1"/>
    </xf>
    <xf numFmtId="0" fontId="28" fillId="6" borderId="17" xfId="0" applyFont="1" applyFill="1" applyBorder="1" applyAlignment="1">
      <alignment horizontal="center" wrapText="1"/>
    </xf>
    <xf numFmtId="4" fontId="28" fillId="9" borderId="24" xfId="0" applyNumberFormat="1" applyFont="1" applyFill="1" applyBorder="1" applyAlignment="1">
      <alignment wrapText="1"/>
    </xf>
    <xf numFmtId="4" fontId="28" fillId="6" borderId="33" xfId="0" applyNumberFormat="1" applyFont="1" applyFill="1" applyBorder="1" applyAlignment="1">
      <alignment horizontal="center" wrapText="1"/>
    </xf>
    <xf numFmtId="4" fontId="28" fillId="6" borderId="24" xfId="0" applyNumberFormat="1" applyFont="1" applyFill="1" applyBorder="1" applyAlignment="1">
      <alignment horizontal="center" wrapText="1"/>
    </xf>
    <xf numFmtId="4" fontId="28" fillId="6" borderId="33" xfId="0" applyNumberFormat="1" applyFont="1" applyFill="1" applyBorder="1" applyAlignment="1">
      <alignment wrapText="1"/>
    </xf>
    <xf numFmtId="4" fontId="28" fillId="6" borderId="24" xfId="0" applyNumberFormat="1" applyFont="1" applyFill="1" applyBorder="1" applyAlignment="1">
      <alignment wrapText="1"/>
    </xf>
    <xf numFmtId="4" fontId="28" fillId="10" borderId="24" xfId="0" applyNumberFormat="1" applyFont="1" applyFill="1" applyBorder="1" applyAlignment="1">
      <alignment wrapText="1"/>
    </xf>
    <xf numFmtId="4" fontId="29" fillId="10" borderId="0" xfId="0" applyNumberFormat="1" applyFont="1" applyFill="1" applyAlignment="1">
      <alignment wrapText="1"/>
    </xf>
    <xf numFmtId="4" fontId="29" fillId="10" borderId="24" xfId="0" applyNumberFormat="1" applyFont="1" applyFill="1" applyBorder="1" applyAlignment="1">
      <alignment wrapText="1"/>
    </xf>
    <xf numFmtId="169" fontId="28" fillId="10" borderId="0" xfId="0" applyNumberFormat="1" applyFont="1" applyFill="1" applyAlignment="1">
      <alignment wrapText="1"/>
    </xf>
    <xf numFmtId="4" fontId="28" fillId="10" borderId="0" xfId="0" applyNumberFormat="1" applyFont="1" applyFill="1" applyAlignment="1">
      <alignment wrapText="1"/>
    </xf>
    <xf numFmtId="4" fontId="28" fillId="7" borderId="33" xfId="0" applyNumberFormat="1" applyFont="1" applyFill="1" applyBorder="1" applyAlignment="1">
      <alignment wrapText="1"/>
    </xf>
    <xf numFmtId="4" fontId="29" fillId="7" borderId="33" xfId="0" applyNumberFormat="1" applyFont="1" applyFill="1" applyBorder="1" applyAlignment="1">
      <alignment horizontal="center" wrapText="1"/>
    </xf>
    <xf numFmtId="4" fontId="28" fillId="7" borderId="24" xfId="0" applyNumberFormat="1" applyFont="1" applyFill="1" applyBorder="1" applyAlignment="1">
      <alignment wrapText="1"/>
    </xf>
    <xf numFmtId="4" fontId="28" fillId="7" borderId="0" xfId="0" applyNumberFormat="1" applyFont="1" applyFill="1" applyAlignment="1">
      <alignment wrapText="1"/>
    </xf>
    <xf numFmtId="4" fontId="29" fillId="7" borderId="0" xfId="0" applyNumberFormat="1" applyFont="1" applyFill="1" applyAlignment="1">
      <alignment wrapText="1"/>
    </xf>
    <xf numFmtId="4" fontId="29" fillId="7" borderId="24" xfId="0" applyNumberFormat="1" applyFont="1" applyFill="1" applyBorder="1" applyAlignment="1">
      <alignment wrapText="1"/>
    </xf>
    <xf numFmtId="169" fontId="28" fillId="7" borderId="0" xfId="0" applyNumberFormat="1" applyFont="1" applyFill="1" applyAlignment="1">
      <alignment wrapText="1"/>
    </xf>
    <xf numFmtId="0" fontId="28" fillId="6" borderId="20" xfId="0" applyFont="1" applyFill="1" applyBorder="1" applyAlignment="1">
      <alignment horizontal="center" wrapText="1"/>
    </xf>
    <xf numFmtId="169" fontId="28" fillId="0" borderId="19" xfId="0" applyNumberFormat="1" applyFont="1" applyBorder="1" applyAlignment="1">
      <alignment wrapText="1"/>
    </xf>
    <xf numFmtId="4" fontId="28" fillId="9" borderId="20" xfId="0" applyNumberFormat="1" applyFont="1" applyFill="1" applyBorder="1" applyAlignment="1">
      <alignment wrapText="1"/>
    </xf>
    <xf numFmtId="4" fontId="29" fillId="9" borderId="17" xfId="0" applyNumberFormat="1" applyFont="1" applyFill="1" applyBorder="1" applyAlignment="1">
      <alignment wrapText="1"/>
    </xf>
    <xf numFmtId="4" fontId="29" fillId="9" borderId="24" xfId="0" applyNumberFormat="1" applyFont="1" applyFill="1" applyBorder="1" applyAlignment="1">
      <alignment wrapText="1"/>
    </xf>
    <xf numFmtId="4" fontId="29" fillId="6" borderId="24" xfId="0" applyNumberFormat="1" applyFont="1" applyFill="1" applyBorder="1" applyAlignment="1">
      <alignment wrapText="1"/>
    </xf>
    <xf numFmtId="169" fontId="28" fillId="0" borderId="33" xfId="0" applyNumberFormat="1" applyFont="1" applyBorder="1" applyAlignment="1">
      <alignment wrapText="1"/>
    </xf>
    <xf numFmtId="44" fontId="29" fillId="0" borderId="0" xfId="0" applyNumberFormat="1" applyFont="1" applyAlignment="1">
      <alignment wrapText="1"/>
    </xf>
    <xf numFmtId="44" fontId="29" fillId="9" borderId="24" xfId="0" applyNumberFormat="1" applyFont="1" applyFill="1" applyBorder="1" applyAlignment="1">
      <alignment horizontal="center" vertical="center" wrapText="1"/>
    </xf>
    <xf numFmtId="4" fontId="29" fillId="10" borderId="0" xfId="0" applyNumberFormat="1" applyFont="1" applyFill="1" applyAlignment="1">
      <alignment vertical="center" wrapText="1"/>
    </xf>
    <xf numFmtId="169" fontId="28" fillId="10" borderId="33" xfId="0" applyNumberFormat="1" applyFont="1" applyFill="1" applyBorder="1" applyAlignment="1">
      <alignment wrapText="1"/>
    </xf>
    <xf numFmtId="44" fontId="29" fillId="10" borderId="0" xfId="0" applyNumberFormat="1" applyFont="1" applyFill="1" applyAlignment="1">
      <alignment wrapText="1"/>
    </xf>
    <xf numFmtId="44" fontId="29" fillId="10" borderId="24" xfId="0" applyNumberFormat="1" applyFont="1" applyFill="1" applyBorder="1" applyAlignment="1">
      <alignment horizontal="center" vertical="center" wrapText="1"/>
    </xf>
    <xf numFmtId="4" fontId="29" fillId="7" borderId="0" xfId="0" applyNumberFormat="1" applyFont="1" applyFill="1" applyAlignment="1">
      <alignment vertical="center" wrapText="1"/>
    </xf>
    <xf numFmtId="169" fontId="28" fillId="7" borderId="33" xfId="0" applyNumberFormat="1" applyFont="1" applyFill="1" applyBorder="1" applyAlignment="1">
      <alignment wrapText="1"/>
    </xf>
    <xf numFmtId="44" fontId="29" fillId="7" borderId="0" xfId="0" applyNumberFormat="1" applyFont="1" applyFill="1" applyAlignment="1">
      <alignment wrapText="1"/>
    </xf>
    <xf numFmtId="44" fontId="29" fillId="7" borderId="24" xfId="0" applyNumberFormat="1" applyFont="1" applyFill="1" applyBorder="1" applyAlignment="1">
      <alignment horizontal="center" vertical="center" wrapText="1"/>
    </xf>
    <xf numFmtId="169" fontId="28" fillId="0" borderId="18" xfId="0" applyNumberFormat="1" applyFont="1" applyBorder="1" applyAlignment="1">
      <alignment wrapText="1"/>
    </xf>
    <xf numFmtId="44" fontId="29" fillId="0" borderId="19" xfId="0" applyNumberFormat="1" applyFont="1" applyBorder="1" applyAlignment="1">
      <alignment wrapText="1"/>
    </xf>
    <xf numFmtId="44" fontId="29" fillId="9" borderId="20" xfId="0" applyNumberFormat="1" applyFont="1" applyFill="1" applyBorder="1" applyAlignment="1">
      <alignment wrapText="1"/>
    </xf>
    <xf numFmtId="4" fontId="33" fillId="6" borderId="24" xfId="0" applyNumberFormat="1" applyFont="1" applyFill="1" applyBorder="1" applyAlignment="1">
      <alignment horizontal="center" vertical="center" wrapText="1"/>
    </xf>
    <xf numFmtId="4" fontId="33" fillId="9" borderId="24" xfId="0" applyNumberFormat="1" applyFont="1" applyFill="1" applyBorder="1" applyAlignment="1">
      <alignment horizontal="center" vertical="center" wrapText="1"/>
    </xf>
    <xf numFmtId="0" fontId="28" fillId="6" borderId="24" xfId="0" applyFont="1" applyFill="1" applyBorder="1" applyAlignment="1">
      <alignment horizontal="center" wrapText="1"/>
    </xf>
    <xf numFmtId="44" fontId="29" fillId="9" borderId="24" xfId="0" applyNumberFormat="1" applyFont="1" applyFill="1" applyBorder="1" applyAlignment="1">
      <alignment wrapText="1"/>
    </xf>
    <xf numFmtId="4" fontId="29" fillId="6" borderId="20" xfId="0" applyNumberFormat="1" applyFont="1" applyFill="1" applyBorder="1" applyAlignment="1">
      <alignment wrapText="1"/>
    </xf>
    <xf numFmtId="4" fontId="29" fillId="9" borderId="20" xfId="0" applyNumberFormat="1" applyFont="1" applyFill="1" applyBorder="1" applyAlignment="1">
      <alignment wrapText="1"/>
    </xf>
    <xf numFmtId="44" fontId="29" fillId="0" borderId="24" xfId="0" applyNumberFormat="1" applyFont="1" applyBorder="1" applyAlignment="1">
      <alignment wrapText="1"/>
    </xf>
    <xf numFmtId="4" fontId="29" fillId="6" borderId="0" xfId="0" applyNumberFormat="1" applyFont="1" applyFill="1" applyAlignment="1">
      <alignment wrapText="1"/>
    </xf>
    <xf numFmtId="49" fontId="29" fillId="0" borderId="33" xfId="0" applyNumberFormat="1" applyFont="1" applyBorder="1" applyAlignment="1">
      <alignment wrapText="1"/>
    </xf>
    <xf numFmtId="4" fontId="28" fillId="6" borderId="0" xfId="0" applyNumberFormat="1" applyFont="1" applyFill="1" applyAlignment="1">
      <alignment wrapText="1"/>
    </xf>
    <xf numFmtId="49" fontId="28" fillId="0" borderId="0" xfId="0" applyNumberFormat="1" applyFont="1" applyAlignment="1">
      <alignment wrapText="1"/>
    </xf>
    <xf numFmtId="4" fontId="34" fillId="0" borderId="0" xfId="0" applyNumberFormat="1" applyFont="1" applyAlignment="1">
      <alignment wrapText="1"/>
    </xf>
    <xf numFmtId="4" fontId="34" fillId="6" borderId="33" xfId="0" applyNumberFormat="1" applyFont="1" applyFill="1" applyBorder="1" applyAlignment="1">
      <alignment wrapText="1"/>
    </xf>
    <xf numFmtId="4" fontId="34" fillId="6" borderId="24" xfId="0" applyNumberFormat="1" applyFont="1" applyFill="1" applyBorder="1" applyAlignment="1">
      <alignment wrapText="1"/>
    </xf>
    <xf numFmtId="4" fontId="36" fillId="0" borderId="0" xfId="0" applyNumberFormat="1" applyFont="1" applyAlignment="1">
      <alignment wrapText="1"/>
    </xf>
    <xf numFmtId="169" fontId="36" fillId="0" borderId="15" xfId="0" applyNumberFormat="1" applyFont="1" applyBorder="1" applyAlignment="1">
      <alignment wrapText="1"/>
    </xf>
    <xf numFmtId="44" fontId="34" fillId="0" borderId="16" xfId="0" applyNumberFormat="1" applyFont="1" applyBorder="1" applyAlignment="1">
      <alignment wrapText="1"/>
    </xf>
    <xf numFmtId="44" fontId="34" fillId="9" borderId="17" xfId="0" applyNumberFormat="1" applyFont="1" applyFill="1" applyBorder="1" applyAlignment="1">
      <alignment wrapText="1"/>
    </xf>
    <xf numFmtId="4" fontId="29" fillId="6" borderId="33" xfId="0" applyNumberFormat="1" applyFont="1" applyFill="1" applyBorder="1" applyAlignment="1">
      <alignment wrapText="1"/>
    </xf>
    <xf numFmtId="169" fontId="28" fillId="9" borderId="24" xfId="0" applyNumberFormat="1" applyFont="1" applyFill="1" applyBorder="1" applyAlignment="1">
      <alignment wrapText="1"/>
    </xf>
    <xf numFmtId="4" fontId="34" fillId="0" borderId="0" xfId="0" applyNumberFormat="1" applyFont="1" applyAlignment="1">
      <alignment horizontal="center" wrapText="1"/>
    </xf>
    <xf numFmtId="169" fontId="36" fillId="0" borderId="0" xfId="0" applyNumberFormat="1" applyFont="1" applyAlignment="1">
      <alignment wrapText="1"/>
    </xf>
    <xf numFmtId="44" fontId="34" fillId="0" borderId="0" xfId="0" applyNumberFormat="1" applyFont="1" applyAlignment="1">
      <alignment wrapText="1"/>
    </xf>
    <xf numFmtId="44" fontId="34" fillId="0" borderId="24" xfId="0" applyNumberFormat="1" applyFont="1" applyBorder="1" applyAlignment="1">
      <alignment wrapText="1"/>
    </xf>
    <xf numFmtId="4" fontId="28" fillId="11" borderId="0" xfId="0" applyNumberFormat="1" applyFont="1" applyFill="1" applyAlignment="1">
      <alignment horizontal="center" wrapText="1"/>
    </xf>
    <xf numFmtId="4" fontId="28" fillId="11" borderId="0" xfId="0" applyNumberFormat="1" applyFont="1" applyFill="1" applyAlignment="1">
      <alignment wrapText="1"/>
    </xf>
    <xf numFmtId="4" fontId="28" fillId="11" borderId="24" xfId="0" applyNumberFormat="1" applyFont="1" applyFill="1" applyBorder="1" applyAlignment="1">
      <alignment wrapText="1"/>
    </xf>
    <xf numFmtId="0" fontId="29" fillId="0" borderId="33" xfId="0" applyFont="1" applyBorder="1"/>
    <xf numFmtId="0" fontId="28" fillId="7" borderId="33" xfId="0" applyFont="1" applyFill="1" applyBorder="1"/>
    <xf numFmtId="4" fontId="29" fillId="0" borderId="15" xfId="0" applyNumberFormat="1" applyFont="1" applyBorder="1"/>
    <xf numFmtId="4" fontId="28" fillId="0" borderId="33" xfId="0" applyNumberFormat="1" applyFont="1" applyBorder="1"/>
    <xf numFmtId="4" fontId="29" fillId="0" borderId="33" xfId="0" applyNumberFormat="1" applyFont="1" applyBorder="1"/>
    <xf numFmtId="4" fontId="28" fillId="10" borderId="33" xfId="0" applyNumberFormat="1" applyFont="1" applyFill="1" applyBorder="1"/>
    <xf numFmtId="4" fontId="28" fillId="7" borderId="33" xfId="0" applyNumberFormat="1" applyFont="1" applyFill="1" applyBorder="1"/>
    <xf numFmtId="4" fontId="28" fillId="0" borderId="18" xfId="0" applyNumberFormat="1" applyFont="1" applyBorder="1"/>
    <xf numFmtId="4" fontId="29" fillId="0" borderId="33" xfId="0" applyNumberFormat="1" applyFont="1" applyBorder="1" applyAlignment="1">
      <alignment horizontal="right"/>
    </xf>
    <xf numFmtId="4" fontId="29" fillId="0" borderId="18" xfId="0" applyNumberFormat="1" applyFont="1" applyBorder="1"/>
    <xf numFmtId="0" fontId="29" fillId="0" borderId="28" xfId="0" applyFont="1" applyBorder="1"/>
    <xf numFmtId="4" fontId="29" fillId="0" borderId="28" xfId="0" applyNumberFormat="1" applyFont="1" applyBorder="1"/>
    <xf numFmtId="4" fontId="28" fillId="7" borderId="28" xfId="0" applyNumberFormat="1" applyFont="1" applyFill="1" applyBorder="1"/>
    <xf numFmtId="4" fontId="29" fillId="0" borderId="29" xfId="0" applyNumberFormat="1" applyFont="1" applyBorder="1"/>
    <xf numFmtId="4" fontId="34" fillId="0" borderId="33" xfId="0" applyNumberFormat="1" applyFont="1" applyBorder="1"/>
    <xf numFmtId="4" fontId="36" fillId="0" borderId="27" xfId="0" applyNumberFormat="1" applyFont="1" applyBorder="1"/>
    <xf numFmtId="4" fontId="28" fillId="0" borderId="28" xfId="0" applyNumberFormat="1" applyFont="1" applyBorder="1"/>
    <xf numFmtId="4" fontId="28" fillId="10" borderId="28" xfId="0" applyNumberFormat="1" applyFont="1" applyFill="1" applyBorder="1"/>
    <xf numFmtId="4" fontId="28" fillId="11" borderId="33" xfId="0" applyNumberFormat="1" applyFont="1" applyFill="1" applyBorder="1"/>
    <xf numFmtId="4" fontId="28" fillId="12" borderId="33" xfId="0" applyNumberFormat="1" applyFont="1" applyFill="1" applyBorder="1"/>
    <xf numFmtId="4" fontId="33" fillId="0" borderId="15" xfId="0" applyNumberFormat="1" applyFont="1" applyBorder="1"/>
    <xf numFmtId="4" fontId="33" fillId="0" borderId="33" xfId="0" applyNumberFormat="1" applyFont="1" applyBorder="1"/>
    <xf numFmtId="4" fontId="31" fillId="0" borderId="33" xfId="0" applyNumberFormat="1" applyFont="1" applyBorder="1"/>
    <xf numFmtId="4" fontId="31" fillId="12" borderId="33" xfId="0" applyNumberFormat="1" applyFont="1" applyFill="1" applyBorder="1"/>
    <xf numFmtId="4" fontId="33" fillId="0" borderId="18" xfId="0" applyNumberFormat="1" applyFont="1" applyBorder="1"/>
    <xf numFmtId="4" fontId="28" fillId="14" borderId="33" xfId="0" applyNumberFormat="1" applyFont="1" applyFill="1" applyBorder="1"/>
    <xf numFmtId="4" fontId="23" fillId="0" borderId="0" xfId="0" applyNumberFormat="1" applyFont="1"/>
    <xf numFmtId="4" fontId="2" fillId="7" borderId="33" xfId="0" applyNumberFormat="1" applyFont="1" applyFill="1" applyBorder="1"/>
    <xf numFmtId="169" fontId="1" fillId="8" borderId="32" xfId="0" applyNumberFormat="1" applyFont="1" applyFill="1" applyBorder="1" applyAlignment="1">
      <alignment horizontal="center" wrapText="1"/>
    </xf>
    <xf numFmtId="169" fontId="1" fillId="8" borderId="32" xfId="0" applyNumberFormat="1" applyFont="1" applyFill="1" applyBorder="1" applyAlignment="1">
      <alignment horizontal="right" wrapText="1"/>
    </xf>
    <xf numFmtId="169" fontId="1" fillId="8" borderId="23" xfId="0" applyNumberFormat="1" applyFont="1" applyFill="1" applyBorder="1" applyAlignment="1">
      <alignment horizontal="right" wrapText="1"/>
    </xf>
    <xf numFmtId="169" fontId="1" fillId="7" borderId="33" xfId="0" applyNumberFormat="1" applyFont="1" applyFill="1" applyBorder="1"/>
    <xf numFmtId="169" fontId="1" fillId="7" borderId="0" xfId="0" applyNumberFormat="1" applyFont="1" applyFill="1" applyAlignment="1">
      <alignment horizontal="center" wrapText="1"/>
    </xf>
    <xf numFmtId="169" fontId="1" fillId="7" borderId="0" xfId="0" applyNumberFormat="1" applyFont="1" applyFill="1" applyAlignment="1">
      <alignment horizontal="right" wrapText="1"/>
    </xf>
    <xf numFmtId="169" fontId="1" fillId="7" borderId="24" xfId="0" applyNumberFormat="1" applyFont="1" applyFill="1" applyBorder="1" applyAlignment="1">
      <alignment horizontal="right" wrapText="1"/>
    </xf>
    <xf numFmtId="169" fontId="1" fillId="8" borderId="22" xfId="0" applyNumberFormat="1" applyFont="1" applyFill="1" applyBorder="1"/>
    <xf numFmtId="169" fontId="9" fillId="15" borderId="22" xfId="0" applyNumberFormat="1" applyFont="1" applyFill="1" applyBorder="1"/>
    <xf numFmtId="169" fontId="9" fillId="15" borderId="32" xfId="0" applyNumberFormat="1" applyFont="1" applyFill="1" applyBorder="1" applyAlignment="1">
      <alignment horizontal="center" wrapText="1"/>
    </xf>
    <xf numFmtId="169" fontId="9" fillId="15" borderId="32" xfId="0" applyNumberFormat="1" applyFont="1" applyFill="1" applyBorder="1" applyAlignment="1">
      <alignment wrapText="1"/>
    </xf>
    <xf numFmtId="169" fontId="9" fillId="15" borderId="23" xfId="0" applyNumberFormat="1" applyFont="1" applyFill="1" applyBorder="1" applyAlignment="1">
      <alignment wrapText="1"/>
    </xf>
    <xf numFmtId="169" fontId="9" fillId="14" borderId="22" xfId="0" applyNumberFormat="1" applyFont="1" applyFill="1" applyBorder="1"/>
    <xf numFmtId="169" fontId="9" fillId="14" borderId="22" xfId="0" applyNumberFormat="1" applyFont="1" applyFill="1" applyBorder="1" applyAlignment="1">
      <alignment horizontal="center" wrapText="1"/>
    </xf>
    <xf numFmtId="169" fontId="9" fillId="14" borderId="32" xfId="0" applyNumberFormat="1" applyFont="1" applyFill="1" applyBorder="1" applyAlignment="1">
      <alignment wrapText="1"/>
    </xf>
    <xf numFmtId="169" fontId="9" fillId="14" borderId="23" xfId="0" applyNumberFormat="1" applyFont="1" applyFill="1" applyBorder="1" applyAlignment="1">
      <alignment wrapText="1"/>
    </xf>
    <xf numFmtId="169" fontId="9" fillId="14" borderId="22" xfId="0" applyNumberFormat="1" applyFont="1" applyFill="1" applyBorder="1" applyAlignment="1">
      <alignment vertical="center" wrapText="1"/>
    </xf>
    <xf numFmtId="169" fontId="9" fillId="14" borderId="32" xfId="0" applyNumberFormat="1" applyFont="1" applyFill="1" applyBorder="1" applyAlignment="1">
      <alignment vertical="center" wrapText="1"/>
    </xf>
    <xf numFmtId="169" fontId="9" fillId="14" borderId="22" xfId="0" applyNumberFormat="1" applyFont="1" applyFill="1" applyBorder="1" applyAlignment="1">
      <alignment wrapText="1"/>
    </xf>
    <xf numFmtId="169" fontId="9" fillId="14" borderId="23" xfId="0" applyNumberFormat="1" applyFont="1" applyFill="1" applyBorder="1" applyAlignment="1">
      <alignment vertical="center" wrapText="1"/>
    </xf>
    <xf numFmtId="4" fontId="35" fillId="0" borderId="15" xfId="0" applyNumberFormat="1" applyFont="1" applyBorder="1" applyAlignment="1">
      <alignment horizontal="center" vertical="center" wrapText="1"/>
    </xf>
    <xf numFmtId="4" fontId="35" fillId="0" borderId="16" xfId="0" applyNumberFormat="1" applyFont="1" applyBorder="1" applyAlignment="1">
      <alignment horizontal="center" vertical="center" wrapText="1"/>
    </xf>
    <xf numFmtId="4" fontId="35" fillId="0" borderId="17" xfId="0" applyNumberFormat="1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4" fontId="32" fillId="0" borderId="18" xfId="0" applyNumberFormat="1" applyFont="1" applyBorder="1" applyAlignment="1">
      <alignment horizontal="center" vertical="center" wrapText="1"/>
    </xf>
    <xf numFmtId="4" fontId="32" fillId="0" borderId="19" xfId="0" applyNumberFormat="1" applyFont="1" applyBorder="1" applyAlignment="1">
      <alignment horizontal="center" vertical="center" wrapText="1"/>
    </xf>
    <xf numFmtId="4" fontId="32" fillId="0" borderId="20" xfId="0" applyNumberFormat="1" applyFont="1" applyBorder="1" applyAlignment="1">
      <alignment horizontal="center" vertical="center" wrapText="1"/>
    </xf>
    <xf numFmtId="4" fontId="33" fillId="0" borderId="27" xfId="0" applyNumberFormat="1" applyFont="1" applyBorder="1" applyAlignment="1">
      <alignment horizontal="center" vertical="center"/>
    </xf>
    <xf numFmtId="4" fontId="33" fillId="0" borderId="28" xfId="0" applyNumberFormat="1" applyFont="1" applyBorder="1" applyAlignment="1">
      <alignment horizontal="center" vertical="center"/>
    </xf>
    <xf numFmtId="4" fontId="33" fillId="0" borderId="29" xfId="0" applyNumberFormat="1" applyFont="1" applyBorder="1" applyAlignment="1">
      <alignment horizontal="center" vertical="center"/>
    </xf>
    <xf numFmtId="4" fontId="28" fillId="0" borderId="33" xfId="0" applyNumberFormat="1" applyFont="1" applyBorder="1" applyAlignment="1">
      <alignment horizontal="center" wrapText="1"/>
    </xf>
    <xf numFmtId="4" fontId="28" fillId="0" borderId="0" xfId="0" applyNumberFormat="1" applyFont="1" applyAlignment="1">
      <alignment horizontal="center" wrapText="1"/>
    </xf>
    <xf numFmtId="4" fontId="28" fillId="0" borderId="24" xfId="0" applyNumberFormat="1" applyFont="1" applyBorder="1" applyAlignment="1">
      <alignment horizontal="center" wrapText="1"/>
    </xf>
    <xf numFmtId="49" fontId="28" fillId="0" borderId="0" xfId="0" applyNumberFormat="1" applyFont="1" applyAlignment="1">
      <alignment horizontal="center" wrapText="1"/>
    </xf>
    <xf numFmtId="4" fontId="31" fillId="0" borderId="15" xfId="0" applyNumberFormat="1" applyFont="1" applyBorder="1" applyAlignment="1">
      <alignment horizontal="center" wrapText="1"/>
    </xf>
    <xf numFmtId="4" fontId="31" fillId="0" borderId="16" xfId="0" applyNumberFormat="1" applyFont="1" applyBorder="1" applyAlignment="1">
      <alignment horizontal="center" wrapText="1"/>
    </xf>
    <xf numFmtId="4" fontId="31" fillId="0" borderId="17" xfId="0" applyNumberFormat="1" applyFont="1" applyBorder="1" applyAlignment="1">
      <alignment horizontal="center" wrapText="1"/>
    </xf>
    <xf numFmtId="4" fontId="31" fillId="0" borderId="16" xfId="0" applyNumberFormat="1" applyFont="1" applyBorder="1" applyAlignment="1">
      <alignment horizontal="center" vertical="center" wrapText="1"/>
    </xf>
    <xf numFmtId="4" fontId="31" fillId="0" borderId="19" xfId="0" applyNumberFormat="1" applyFont="1" applyBorder="1" applyAlignment="1">
      <alignment horizontal="center" vertical="center" wrapText="1"/>
    </xf>
    <xf numFmtId="2" fontId="31" fillId="0" borderId="16" xfId="0" applyNumberFormat="1" applyFont="1" applyBorder="1" applyAlignment="1">
      <alignment horizontal="center" wrapText="1"/>
    </xf>
    <xf numFmtId="4" fontId="37" fillId="0" borderId="15" xfId="0" applyNumberFormat="1" applyFont="1" applyBorder="1" applyAlignment="1">
      <alignment horizontal="center" wrapText="1"/>
    </xf>
    <xf numFmtId="4" fontId="37" fillId="0" borderId="16" xfId="0" applyNumberFormat="1" applyFont="1" applyBorder="1" applyAlignment="1">
      <alignment horizontal="center" wrapText="1"/>
    </xf>
    <xf numFmtId="4" fontId="37" fillId="0" borderId="17" xfId="0" applyNumberFormat="1" applyFont="1" applyBorder="1" applyAlignment="1">
      <alignment horizontal="center" wrapText="1"/>
    </xf>
    <xf numFmtId="0" fontId="37" fillId="0" borderId="18" xfId="0" applyFont="1" applyBorder="1" applyAlignment="1">
      <alignment horizontal="center" wrapText="1"/>
    </xf>
    <xf numFmtId="0" fontId="37" fillId="0" borderId="19" xfId="0" applyFont="1" applyBorder="1" applyAlignment="1">
      <alignment horizontal="center" wrapText="1"/>
    </xf>
    <xf numFmtId="0" fontId="37" fillId="0" borderId="20" xfId="0" applyFont="1" applyBorder="1" applyAlignment="1">
      <alignment horizontal="center" wrapText="1"/>
    </xf>
    <xf numFmtId="0" fontId="28" fillId="0" borderId="2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4" fontId="28" fillId="0" borderId="15" xfId="0" applyNumberFormat="1" applyFont="1" applyBorder="1" applyAlignment="1">
      <alignment horizontal="center" wrapText="1"/>
    </xf>
    <xf numFmtId="4" fontId="28" fillId="0" borderId="16" xfId="0" applyNumberFormat="1" applyFont="1" applyBorder="1" applyAlignment="1">
      <alignment horizontal="center" wrapText="1"/>
    </xf>
    <xf numFmtId="4" fontId="28" fillId="0" borderId="17" xfId="0" applyNumberFormat="1" applyFont="1" applyBorder="1" applyAlignment="1">
      <alignment horizontal="center" wrapText="1"/>
    </xf>
    <xf numFmtId="49" fontId="28" fillId="0" borderId="16" xfId="0" applyNumberFormat="1" applyFont="1" applyBorder="1" applyAlignment="1">
      <alignment horizontal="center" wrapText="1"/>
    </xf>
    <xf numFmtId="4" fontId="31" fillId="0" borderId="15" xfId="0" applyNumberFormat="1" applyFont="1" applyBorder="1" applyAlignment="1">
      <alignment horizontal="center" vertical="center" wrapText="1"/>
    </xf>
    <xf numFmtId="4" fontId="31" fillId="0" borderId="18" xfId="0" applyNumberFormat="1" applyFont="1" applyBorder="1" applyAlignment="1">
      <alignment horizontal="center" vertical="center" wrapText="1"/>
    </xf>
    <xf numFmtId="4" fontId="31" fillId="0" borderId="17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4" fontId="32" fillId="0" borderId="15" xfId="0" applyNumberFormat="1" applyFont="1" applyBorder="1" applyAlignment="1">
      <alignment horizontal="center" vertical="center" wrapText="1"/>
    </xf>
    <xf numFmtId="4" fontId="32" fillId="0" borderId="16" xfId="0" applyNumberFormat="1" applyFont="1" applyBorder="1" applyAlignment="1">
      <alignment horizontal="center" vertical="center" wrapText="1"/>
    </xf>
    <xf numFmtId="4" fontId="32" fillId="0" borderId="17" xfId="0" applyNumberFormat="1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4" fontId="32" fillId="0" borderId="15" xfId="0" applyNumberFormat="1" applyFont="1" applyBorder="1" applyAlignment="1">
      <alignment horizontal="center" wrapText="1"/>
    </xf>
    <xf numFmtId="4" fontId="32" fillId="0" borderId="16" xfId="0" applyNumberFormat="1" applyFont="1" applyBorder="1" applyAlignment="1">
      <alignment horizontal="center" wrapText="1"/>
    </xf>
    <xf numFmtId="4" fontId="32" fillId="0" borderId="17" xfId="0" applyNumberFormat="1" applyFont="1" applyBorder="1" applyAlignment="1">
      <alignment horizont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49" fontId="28" fillId="0" borderId="15" xfId="0" applyNumberFormat="1" applyFont="1" applyBorder="1" applyAlignment="1">
      <alignment horizontal="center" wrapText="1"/>
    </xf>
    <xf numFmtId="49" fontId="28" fillId="0" borderId="17" xfId="0" applyNumberFormat="1" applyFont="1" applyBorder="1" applyAlignment="1">
      <alignment horizontal="center" wrapText="1"/>
    </xf>
    <xf numFmtId="4" fontId="31" fillId="6" borderId="15" xfId="0" applyNumberFormat="1" applyFont="1" applyFill="1" applyBorder="1" applyAlignment="1">
      <alignment horizontal="center" vertical="center" wrapText="1"/>
    </xf>
    <xf numFmtId="4" fontId="31" fillId="6" borderId="18" xfId="0" applyNumberFormat="1" applyFont="1" applyFill="1" applyBorder="1" applyAlignment="1">
      <alignment horizontal="center" vertical="center" wrapText="1"/>
    </xf>
    <xf numFmtId="4" fontId="31" fillId="6" borderId="17" xfId="0" applyNumberFormat="1" applyFont="1" applyFill="1" applyBorder="1" applyAlignment="1">
      <alignment horizontal="center" vertical="center" wrapText="1"/>
    </xf>
    <xf numFmtId="4" fontId="31" fillId="6" borderId="20" xfId="0" applyNumberFormat="1" applyFont="1" applyFill="1" applyBorder="1" applyAlignment="1">
      <alignment horizontal="center" vertical="center" wrapText="1"/>
    </xf>
    <xf numFmtId="4" fontId="23" fillId="6" borderId="33" xfId="0" applyNumberFormat="1" applyFont="1" applyFill="1" applyBorder="1" applyAlignment="1">
      <alignment horizontal="center" vertical="center" wrapText="1"/>
    </xf>
    <xf numFmtId="4" fontId="23" fillId="6" borderId="18" xfId="0" applyNumberFormat="1" applyFont="1" applyFill="1" applyBorder="1" applyAlignment="1">
      <alignment horizontal="center" vertical="center" wrapText="1"/>
    </xf>
    <xf numFmtId="4" fontId="23" fillId="6" borderId="24" xfId="0" applyNumberFormat="1" applyFont="1" applyFill="1" applyBorder="1" applyAlignment="1">
      <alignment horizontal="center" vertical="center" wrapText="1"/>
    </xf>
    <xf numFmtId="4" fontId="23" fillId="6" borderId="20" xfId="0" applyNumberFormat="1" applyFont="1" applyFill="1" applyBorder="1" applyAlignment="1">
      <alignment horizontal="center" vertical="center" wrapText="1"/>
    </xf>
    <xf numFmtId="4" fontId="23" fillId="0" borderId="0" xfId="0" applyNumberFormat="1" applyFont="1" applyAlignment="1">
      <alignment horizontal="center"/>
    </xf>
    <xf numFmtId="4" fontId="2" fillId="0" borderId="33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wrapText="1"/>
    </xf>
    <xf numFmtId="4" fontId="31" fillId="6" borderId="33" xfId="0" applyNumberFormat="1" applyFont="1" applyFill="1" applyBorder="1" applyAlignment="1">
      <alignment horizontal="center" vertical="center" wrapText="1"/>
    </xf>
    <xf numFmtId="4" fontId="31" fillId="6" borderId="24" xfId="0" applyNumberFormat="1" applyFont="1" applyFill="1" applyBorder="1" applyAlignment="1">
      <alignment horizontal="center" vertical="center" wrapText="1"/>
    </xf>
    <xf numFmtId="4" fontId="31" fillId="0" borderId="0" xfId="0" applyNumberFormat="1" applyFont="1" applyAlignment="1">
      <alignment horizontal="center" wrapText="1"/>
    </xf>
    <xf numFmtId="4" fontId="22" fillId="0" borderId="15" xfId="0" applyNumberFormat="1" applyFont="1" applyBorder="1" applyAlignment="1">
      <alignment horizontal="center"/>
    </xf>
    <xf numFmtId="4" fontId="22" fillId="0" borderId="16" xfId="0" applyNumberFormat="1" applyFont="1" applyBorder="1" applyAlignment="1">
      <alignment horizontal="center"/>
    </xf>
    <xf numFmtId="4" fontId="22" fillId="0" borderId="17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" fontId="31" fillId="0" borderId="24" xfId="0" applyNumberFormat="1" applyFont="1" applyBorder="1" applyAlignment="1">
      <alignment horizontal="center" wrapText="1"/>
    </xf>
    <xf numFmtId="49" fontId="28" fillId="0" borderId="33" xfId="0" applyNumberFormat="1" applyFont="1" applyBorder="1" applyAlignment="1">
      <alignment horizontal="center" wrapText="1"/>
    </xf>
    <xf numFmtId="49" fontId="28" fillId="0" borderId="24" xfId="0" applyNumberFormat="1" applyFont="1" applyBorder="1" applyAlignment="1">
      <alignment horizontal="center" wrapText="1"/>
    </xf>
    <xf numFmtId="4" fontId="31" fillId="6" borderId="0" xfId="0" applyNumberFormat="1" applyFont="1" applyFill="1" applyAlignment="1">
      <alignment horizontal="center" vertical="center" wrapText="1"/>
    </xf>
    <xf numFmtId="4" fontId="31" fillId="6" borderId="19" xfId="0" applyNumberFormat="1" applyFont="1" applyFill="1" applyBorder="1" applyAlignment="1">
      <alignment horizontal="center" vertical="center" wrapText="1"/>
    </xf>
    <xf numFmtId="4" fontId="31" fillId="0" borderId="33" xfId="0" applyNumberFormat="1" applyFont="1" applyBorder="1" applyAlignment="1">
      <alignment horizont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4" fontId="30" fillId="0" borderId="22" xfId="0" applyNumberFormat="1" applyFont="1" applyBorder="1" applyAlignment="1">
      <alignment horizontal="center" wrapText="1"/>
    </xf>
    <xf numFmtId="4" fontId="30" fillId="0" borderId="32" xfId="0" applyNumberFormat="1" applyFont="1" applyBorder="1" applyAlignment="1">
      <alignment horizontal="center" wrapText="1"/>
    </xf>
    <xf numFmtId="4" fontId="30" fillId="0" borderId="23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4" fontId="30" fillId="0" borderId="15" xfId="0" applyNumberFormat="1" applyFont="1" applyBorder="1" applyAlignment="1">
      <alignment horizontal="center" wrapText="1"/>
    </xf>
    <xf numFmtId="4" fontId="30" fillId="0" borderId="16" xfId="0" applyNumberFormat="1" applyFont="1" applyBorder="1" applyAlignment="1">
      <alignment horizontal="center" wrapText="1"/>
    </xf>
    <xf numFmtId="4" fontId="30" fillId="0" borderId="17" xfId="0" applyNumberFormat="1" applyFont="1" applyBorder="1" applyAlignment="1">
      <alignment horizontal="center" wrapText="1"/>
    </xf>
    <xf numFmtId="0" fontId="28" fillId="0" borderId="33" xfId="0" applyFont="1" applyBorder="1" applyAlignment="1">
      <alignment horizontal="center" wrapText="1"/>
    </xf>
    <xf numFmtId="0" fontId="28" fillId="0" borderId="0" xfId="0" applyFont="1" applyAlignment="1">
      <alignment horizontal="center" wrapText="1"/>
    </xf>
    <xf numFmtId="0" fontId="28" fillId="0" borderId="24" xfId="0" applyFont="1" applyBorder="1" applyAlignment="1">
      <alignment horizontal="center" wrapText="1"/>
    </xf>
    <xf numFmtId="4" fontId="30" fillId="0" borderId="15" xfId="0" applyNumberFormat="1" applyFont="1" applyBorder="1" applyAlignment="1">
      <alignment horizontal="center" vertical="center" wrapText="1"/>
    </xf>
    <xf numFmtId="4" fontId="30" fillId="0" borderId="16" xfId="0" applyNumberFormat="1" applyFont="1" applyBorder="1" applyAlignment="1">
      <alignment horizontal="center" vertical="center" wrapText="1"/>
    </xf>
    <xf numFmtId="4" fontId="30" fillId="0" borderId="17" xfId="0" applyNumberFormat="1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wrapText="1"/>
    </xf>
    <xf numFmtId="0" fontId="37" fillId="0" borderId="32" xfId="0" applyFont="1" applyBorder="1" applyAlignment="1">
      <alignment horizontal="center" wrapText="1"/>
    </xf>
    <xf numFmtId="0" fontId="37" fillId="0" borderId="23" xfId="0" applyFont="1" applyBorder="1" applyAlignment="1">
      <alignment horizontal="center" wrapText="1"/>
    </xf>
    <xf numFmtId="4" fontId="29" fillId="0" borderId="33" xfId="0" applyNumberFormat="1" applyFont="1" applyBorder="1" applyAlignment="1">
      <alignment horizontal="center" wrapText="1"/>
    </xf>
    <xf numFmtId="4" fontId="29" fillId="0" borderId="0" xfId="0" applyNumberFormat="1" applyFont="1" applyAlignment="1">
      <alignment horizontal="center" wrapText="1"/>
    </xf>
    <xf numFmtId="4" fontId="9" fillId="3" borderId="26" xfId="0" applyNumberFormat="1" applyFont="1" applyFill="1" applyBorder="1" applyAlignment="1">
      <alignment horizontal="center" vertical="center"/>
    </xf>
    <xf numFmtId="4" fontId="9" fillId="3" borderId="2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9" fillId="3" borderId="4" xfId="0" applyNumberFormat="1" applyFont="1" applyFill="1" applyBorder="1" applyAlignment="1">
      <alignment horizontal="center" vertical="center"/>
    </xf>
    <xf numFmtId="4" fontId="9" fillId="3" borderId="5" xfId="0" applyNumberFormat="1" applyFont="1" applyFill="1" applyBorder="1" applyAlignment="1">
      <alignment horizontal="center" vertical="center"/>
    </xf>
    <xf numFmtId="4" fontId="9" fillId="3" borderId="6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8" fillId="2" borderId="21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</cellXfs>
  <cellStyles count="3">
    <cellStyle name="Euro" xfId="1" xr:uid="{00000000-0005-0000-0000-000001000000}"/>
    <cellStyle name="Millares" xfId="2" builtinId="3"/>
    <cellStyle name="Normal" xfId="0" builtinId="0"/>
  </cellStyles>
  <dxfs count="0"/>
  <tableStyles count="0" defaultTableStyle="TableStyleMedium9" defaultPivotStyle="PivotStyleLight16"/>
  <colors>
    <mruColors>
      <color rgb="FFFF33CC"/>
      <color rgb="FFCC66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UENGO\intervencion\T&#233;cnicos%20de%20Intervenci&#243;n\1-%20Presupuestos%20y%20Pr&#243;rrogas\PRESUPUESTO%202024\RETRIBUCIONES%202024.xlsx" TargetMode="External"/><Relationship Id="rId1" Type="http://schemas.openxmlformats.org/officeDocument/2006/relationships/externalLinkPath" Target="/T&#233;cnicos%20de%20Intervenci&#243;n/1-%20Presupuestos%20y%20Pr&#243;rrogas/PRESUPUESTO%202024/RETRIBUCIONE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RETRIBUCIONES 2024"/>
      <sheetName val="S.S. cargo empresa"/>
      <sheetName val="Fiscalizaciones"/>
    </sheetNames>
    <sheetDataSet>
      <sheetData sheetId="0"/>
      <sheetData sheetId="1">
        <row r="5">
          <cell r="C5">
            <v>41.65</v>
          </cell>
        </row>
        <row r="9">
          <cell r="C9">
            <v>836.78</v>
          </cell>
        </row>
        <row r="10">
          <cell r="C10">
            <v>30.37</v>
          </cell>
        </row>
        <row r="14">
          <cell r="R14">
            <v>741.15</v>
          </cell>
        </row>
      </sheetData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luis" id="{6692DA06-50C4-42EE-AEE8-5F1FD8835CB1}" userId="luis" providerId="None"/>
  <person displayName="Tag Intervención" id="{60B45148-B11B-4FD3-AED4-C1AFAD875259}" userId="S::tagintervencion@alginet.es::5f5b6961-9cdd-4dd8-84b0-8bb05da5305c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57" dT="2024-09-24T07:41:44.47" personId="{60B45148-B11B-4FD3-AED4-C1AFAD875259}" id="{2C97F3B4-C98F-4B56-9CB7-FFAE7BEA1557}">
    <text>Trienio de Rascon Ortega que sustituye a Palau</text>
  </threadedComment>
  <threadedComment ref="G481" dT="2022-03-03T11:04:47.98" personId="{6692DA06-50C4-42EE-AEE8-5F1FD8835CB1}" id="{352D8E62-4B1B-493E-A3BD-9FB88835F589}">
    <text>Consolidado el nivel 18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67"/>
  <sheetViews>
    <sheetView tabSelected="1" topLeftCell="A545" zoomScale="55" zoomScaleNormal="55" workbookViewId="0">
      <selection activeCell="A561" sqref="A561"/>
    </sheetView>
  </sheetViews>
  <sheetFormatPr baseColWidth="10" defaultRowHeight="15.75" x14ac:dyDescent="0.25"/>
  <cols>
    <col min="1" max="1" width="82" style="16" customWidth="1"/>
    <col min="2" max="2" width="8.28515625" style="74" customWidth="1"/>
    <col min="3" max="3" width="24.85546875" style="67" bestFit="1" customWidth="1"/>
    <col min="4" max="4" width="27.140625" style="67" bestFit="1" customWidth="1"/>
    <col min="5" max="5" width="30.85546875" style="67" bestFit="1" customWidth="1"/>
    <col min="6" max="6" width="27" style="67" bestFit="1" customWidth="1"/>
    <col min="7" max="7" width="13.7109375" style="67" bestFit="1" customWidth="1"/>
    <col min="8" max="8" width="21.28515625" style="68" customWidth="1"/>
    <col min="9" max="9" width="23.28515625" style="69" bestFit="1" customWidth="1"/>
    <col min="10" max="10" width="24" style="69" bestFit="1" customWidth="1"/>
    <col min="11" max="11" width="21.28515625" style="67" customWidth="1"/>
    <col min="12" max="12" width="25.28515625" style="67" customWidth="1"/>
    <col min="13" max="13" width="28.7109375" style="16" customWidth="1"/>
    <col min="14" max="14" width="25.28515625" style="16" bestFit="1" customWidth="1"/>
    <col min="15" max="15" width="21.140625" style="87" bestFit="1" customWidth="1"/>
    <col min="16" max="16" width="20.140625" style="87" customWidth="1"/>
    <col min="17" max="18" width="23.28515625" style="16" customWidth="1"/>
    <col min="19" max="19" width="27.140625" style="16" customWidth="1"/>
    <col min="20" max="20" width="30.42578125" style="16" bestFit="1" customWidth="1"/>
    <col min="21" max="21" width="29.7109375" style="16" customWidth="1"/>
    <col min="22" max="22" width="30.42578125" style="16" bestFit="1" customWidth="1"/>
    <col min="23" max="23" width="13.5703125" style="16" bestFit="1" customWidth="1"/>
    <col min="24" max="24" width="17.140625" style="88" bestFit="1" customWidth="1"/>
    <col min="25" max="25" width="15.28515625" style="16" customWidth="1"/>
    <col min="26" max="26" width="4.7109375" customWidth="1"/>
    <col min="27" max="27" width="16.28515625" customWidth="1"/>
    <col min="28" max="28" width="18.28515625" customWidth="1"/>
    <col min="29" max="29" width="13.7109375" bestFit="1" customWidth="1"/>
    <col min="30" max="30" width="9.28515625" bestFit="1" customWidth="1"/>
    <col min="31" max="31" width="12.85546875" customWidth="1"/>
    <col min="32" max="32" width="12.28515625" customWidth="1"/>
    <col min="33" max="33" width="7.5703125" customWidth="1"/>
    <col min="34" max="34" width="9.140625" customWidth="1"/>
    <col min="35" max="35" width="10" customWidth="1"/>
    <col min="36" max="36" width="3.42578125" customWidth="1"/>
    <col min="38" max="38" width="8.42578125" customWidth="1"/>
    <col min="39" max="39" width="10.7109375" customWidth="1"/>
  </cols>
  <sheetData>
    <row r="1" spans="1:29" s="150" customFormat="1" ht="30" customHeight="1" x14ac:dyDescent="0.2">
      <c r="A1" s="162" t="s">
        <v>221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377"/>
      <c r="M1" s="377"/>
      <c r="N1" s="377"/>
      <c r="O1" s="377"/>
      <c r="P1" s="377"/>
      <c r="Q1" s="377"/>
      <c r="R1" s="377"/>
      <c r="S1" s="377"/>
      <c r="T1" s="317"/>
      <c r="U1" s="317"/>
      <c r="V1" s="318"/>
    </row>
    <row r="2" spans="1:29" ht="16.5" x14ac:dyDescent="0.25">
      <c r="A2" s="450"/>
      <c r="B2" s="378"/>
      <c r="C2" s="164"/>
      <c r="D2" s="164"/>
      <c r="E2" s="164"/>
      <c r="F2" s="164"/>
      <c r="G2" s="164"/>
      <c r="H2" s="165"/>
      <c r="I2" s="166"/>
      <c r="J2" s="166"/>
      <c r="K2" s="164"/>
      <c r="L2" s="164"/>
      <c r="M2" s="379"/>
      <c r="N2" s="379"/>
      <c r="O2" s="380"/>
      <c r="P2" s="380"/>
      <c r="Q2" s="379"/>
      <c r="R2" s="379"/>
      <c r="S2" s="379"/>
      <c r="T2" s="379"/>
      <c r="U2" s="379"/>
      <c r="V2" s="381"/>
      <c r="W2"/>
      <c r="X2"/>
      <c r="Y2"/>
    </row>
    <row r="3" spans="1:29" ht="16.5" x14ac:dyDescent="0.25">
      <c r="A3" s="451" t="s">
        <v>0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3"/>
      <c r="U3" s="383"/>
      <c r="V3" s="384"/>
      <c r="W3"/>
      <c r="X3"/>
      <c r="Y3"/>
    </row>
    <row r="4" spans="1:29" ht="17.25" thickBot="1" x14ac:dyDescent="0.3">
      <c r="A4" s="450"/>
      <c r="B4" s="378"/>
      <c r="C4" s="164"/>
      <c r="D4" s="164"/>
      <c r="E4" s="164"/>
      <c r="F4" s="164"/>
      <c r="G4" s="164"/>
      <c r="H4" s="165"/>
      <c r="I4" s="166"/>
      <c r="J4" s="166"/>
      <c r="K4" s="164"/>
      <c r="L4" s="164"/>
      <c r="M4" s="379"/>
      <c r="N4" s="379"/>
      <c r="O4" s="380"/>
      <c r="P4" s="380"/>
      <c r="Q4" s="379"/>
      <c r="R4" s="379"/>
      <c r="S4" s="379"/>
      <c r="T4" s="379"/>
      <c r="U4" s="379"/>
      <c r="V4" s="381"/>
      <c r="W4"/>
      <c r="X4"/>
      <c r="Y4"/>
    </row>
    <row r="5" spans="1:29" ht="20.100000000000001" customHeight="1" x14ac:dyDescent="0.25">
      <c r="A5" s="586" t="s">
        <v>14</v>
      </c>
      <c r="B5" s="587"/>
      <c r="C5" s="587"/>
      <c r="D5" s="587"/>
      <c r="E5" s="587"/>
      <c r="F5" s="587"/>
      <c r="G5" s="587"/>
      <c r="H5" s="587"/>
      <c r="I5" s="587"/>
      <c r="J5" s="587"/>
      <c r="K5" s="587"/>
      <c r="L5" s="587"/>
      <c r="M5" s="587"/>
      <c r="N5" s="587"/>
      <c r="O5" s="587"/>
      <c r="P5" s="587"/>
      <c r="Q5" s="587"/>
      <c r="R5" s="587"/>
      <c r="S5" s="587"/>
      <c r="T5" s="587"/>
      <c r="U5" s="587"/>
      <c r="V5" s="588"/>
      <c r="W5"/>
      <c r="X5"/>
      <c r="Y5"/>
      <c r="Z5" s="585"/>
      <c r="AA5" s="585"/>
      <c r="AB5" s="585"/>
    </row>
    <row r="6" spans="1:29" ht="20.100000000000001" customHeight="1" thickBot="1" x14ac:dyDescent="0.3">
      <c r="A6" s="589">
        <v>920</v>
      </c>
      <c r="B6" s="590"/>
      <c r="C6" s="590"/>
      <c r="D6" s="590"/>
      <c r="E6" s="590"/>
      <c r="F6" s="590"/>
      <c r="G6" s="590"/>
      <c r="H6" s="590"/>
      <c r="I6" s="590"/>
      <c r="J6" s="590"/>
      <c r="K6" s="590"/>
      <c r="L6" s="590"/>
      <c r="M6" s="590"/>
      <c r="N6" s="590"/>
      <c r="O6" s="590"/>
      <c r="P6" s="590"/>
      <c r="Q6" s="590"/>
      <c r="R6" s="590"/>
      <c r="S6" s="590"/>
      <c r="T6" s="590"/>
      <c r="U6" s="590"/>
      <c r="V6" s="591"/>
      <c r="W6"/>
      <c r="X6"/>
      <c r="Y6"/>
      <c r="Z6" s="86"/>
      <c r="AA6" s="86"/>
      <c r="AB6" s="86"/>
    </row>
    <row r="7" spans="1:29" s="1" customFormat="1" ht="16.5" x14ac:dyDescent="0.25">
      <c r="A7" s="452"/>
      <c r="B7" s="169"/>
      <c r="C7" s="167"/>
      <c r="D7" s="167" t="s">
        <v>117</v>
      </c>
      <c r="E7" s="167"/>
      <c r="F7" s="168">
        <v>12006</v>
      </c>
      <c r="G7" s="169"/>
      <c r="H7" s="167"/>
      <c r="I7" s="167">
        <v>12100</v>
      </c>
      <c r="J7" s="167"/>
      <c r="K7" s="168">
        <v>12101</v>
      </c>
      <c r="L7" s="199"/>
      <c r="M7" s="385"/>
      <c r="N7" s="169"/>
      <c r="O7" s="167"/>
      <c r="P7" s="167" t="s">
        <v>117</v>
      </c>
      <c r="Q7" s="167">
        <v>12100</v>
      </c>
      <c r="R7" s="167">
        <v>12101</v>
      </c>
      <c r="S7" s="168"/>
      <c r="T7" s="170"/>
      <c r="U7" s="167"/>
      <c r="V7" s="171"/>
    </row>
    <row r="8" spans="1:29" s="1" customFormat="1" ht="21" customHeight="1" x14ac:dyDescent="0.25">
      <c r="A8" s="453"/>
      <c r="B8" s="510" t="s">
        <v>123</v>
      </c>
      <c r="C8" s="511"/>
      <c r="D8" s="511"/>
      <c r="E8" s="511"/>
      <c r="F8" s="512"/>
      <c r="G8" s="574" t="s">
        <v>124</v>
      </c>
      <c r="H8" s="513"/>
      <c r="I8" s="513"/>
      <c r="J8" s="513"/>
      <c r="K8" s="575"/>
      <c r="L8" s="564" t="s">
        <v>132</v>
      </c>
      <c r="M8" s="565" t="s">
        <v>133</v>
      </c>
      <c r="N8" s="578" t="s">
        <v>2</v>
      </c>
      <c r="O8" s="566"/>
      <c r="P8" s="566"/>
      <c r="Q8" s="566"/>
      <c r="R8" s="566"/>
      <c r="S8" s="573"/>
      <c r="T8" s="280"/>
      <c r="U8" s="285"/>
      <c r="V8" s="386"/>
    </row>
    <row r="9" spans="1:29" s="29" customFormat="1" ht="35.25" customHeight="1" thickBot="1" x14ac:dyDescent="0.25">
      <c r="A9" s="172"/>
      <c r="B9" s="268" t="s">
        <v>6</v>
      </c>
      <c r="C9" s="173" t="s">
        <v>138</v>
      </c>
      <c r="D9" s="173" t="s">
        <v>139</v>
      </c>
      <c r="E9" s="173" t="s">
        <v>8</v>
      </c>
      <c r="F9" s="174" t="s">
        <v>140</v>
      </c>
      <c r="G9" s="175" t="s">
        <v>9</v>
      </c>
      <c r="H9" s="173" t="s">
        <v>136</v>
      </c>
      <c r="I9" s="173" t="s">
        <v>135</v>
      </c>
      <c r="J9" s="173" t="s">
        <v>134</v>
      </c>
      <c r="K9" s="174" t="s">
        <v>137</v>
      </c>
      <c r="L9" s="552"/>
      <c r="M9" s="554"/>
      <c r="N9" s="268" t="s">
        <v>10</v>
      </c>
      <c r="O9" s="173" t="s">
        <v>11</v>
      </c>
      <c r="P9" s="173" t="s">
        <v>120</v>
      </c>
      <c r="Q9" s="173" t="s">
        <v>122</v>
      </c>
      <c r="R9" s="173" t="s">
        <v>121</v>
      </c>
      <c r="S9" s="174" t="s">
        <v>116</v>
      </c>
      <c r="T9" s="283" t="s">
        <v>141</v>
      </c>
      <c r="U9" s="173" t="s">
        <v>143</v>
      </c>
      <c r="V9" s="176" t="s">
        <v>142</v>
      </c>
    </row>
    <row r="10" spans="1:29" s="1" customFormat="1" ht="16.5" x14ac:dyDescent="0.25">
      <c r="A10" s="454"/>
      <c r="B10" s="251"/>
      <c r="C10" s="166"/>
      <c r="D10" s="166"/>
      <c r="E10" s="166"/>
      <c r="F10" s="177"/>
      <c r="G10" s="178"/>
      <c r="H10" s="166"/>
      <c r="I10" s="166"/>
      <c r="J10" s="166"/>
      <c r="K10" s="177"/>
      <c r="L10" s="387"/>
      <c r="M10" s="388"/>
      <c r="N10" s="251"/>
      <c r="O10" s="285"/>
      <c r="P10" s="285"/>
      <c r="Q10" s="285"/>
      <c r="R10" s="285"/>
      <c r="S10" s="281"/>
      <c r="T10" s="280"/>
      <c r="U10" s="285"/>
      <c r="V10" s="386"/>
    </row>
    <row r="11" spans="1:29" s="1" customFormat="1" ht="16.5" x14ac:dyDescent="0.25">
      <c r="A11" s="454"/>
      <c r="B11" s="251"/>
      <c r="C11" s="166"/>
      <c r="D11" s="166"/>
      <c r="E11" s="166"/>
      <c r="F11" s="177"/>
      <c r="G11" s="178"/>
      <c r="H11" s="166"/>
      <c r="I11" s="166"/>
      <c r="J11" s="166"/>
      <c r="K11" s="177"/>
      <c r="L11" s="387"/>
      <c r="M11" s="388"/>
      <c r="N11" s="251"/>
      <c r="O11" s="285"/>
      <c r="P11" s="285"/>
      <c r="Q11" s="285"/>
      <c r="R11" s="285"/>
      <c r="S11" s="281"/>
      <c r="T11" s="280"/>
      <c r="U11" s="285"/>
      <c r="V11" s="386"/>
    </row>
    <row r="12" spans="1:29" s="1" customFormat="1" ht="16.5" x14ac:dyDescent="0.25">
      <c r="A12" s="454" t="s">
        <v>222</v>
      </c>
      <c r="B12" s="251" t="s">
        <v>12</v>
      </c>
      <c r="C12" s="166">
        <f>'RETRIBUCIONES 2025'!$B$4</f>
        <v>1326.9</v>
      </c>
      <c r="D12" s="166">
        <f>C12*12</f>
        <v>15922.800000000001</v>
      </c>
      <c r="E12" s="166">
        <v>306.42</v>
      </c>
      <c r="F12" s="177">
        <f>E12*12</f>
        <v>3677.04</v>
      </c>
      <c r="G12" s="178">
        <v>30</v>
      </c>
      <c r="H12" s="166">
        <f>'RETRIBUCIONES 2025'!W14</f>
        <v>1159.06</v>
      </c>
      <c r="I12" s="166">
        <f>H12*12</f>
        <v>13908.72</v>
      </c>
      <c r="J12" s="166">
        <v>2451.52</v>
      </c>
      <c r="K12" s="177">
        <f>J12*12</f>
        <v>29418.239999999998</v>
      </c>
      <c r="L12" s="389">
        <f>C12+E12+H12+J12</f>
        <v>5243.9</v>
      </c>
      <c r="M12" s="390">
        <f>D12+F12+I12+K12</f>
        <v>62926.799999999996</v>
      </c>
      <c r="N12" s="219">
        <f>'RETRIBUCIONES 2025'!$B$9</f>
        <v>818.82</v>
      </c>
      <c r="O12" s="285">
        <v>0</v>
      </c>
      <c r="P12" s="285">
        <f>SUM(N12:O12)</f>
        <v>818.82</v>
      </c>
      <c r="Q12" s="285">
        <f>H12</f>
        <v>1159.06</v>
      </c>
      <c r="R12" s="285">
        <f>J12</f>
        <v>2451.52</v>
      </c>
      <c r="S12" s="281">
        <f>P12+Q12+R12</f>
        <v>4429.3999999999996</v>
      </c>
      <c r="T12" s="280">
        <f>M12+S12*2</f>
        <v>71785.599999999991</v>
      </c>
      <c r="U12" s="285">
        <f>T12*0.33</f>
        <v>23689.248</v>
      </c>
      <c r="V12" s="386">
        <f>T12+U12</f>
        <v>95474.847999999998</v>
      </c>
      <c r="Z12" s="4"/>
      <c r="AC12" s="4"/>
    </row>
    <row r="13" spans="1:29" s="1" customFormat="1" ht="16.5" x14ac:dyDescent="0.25">
      <c r="A13" s="454"/>
      <c r="B13" s="251"/>
      <c r="C13" s="166"/>
      <c r="D13" s="166"/>
      <c r="E13" s="166"/>
      <c r="F13" s="177"/>
      <c r="G13" s="178"/>
      <c r="H13" s="166"/>
      <c r="I13" s="166"/>
      <c r="J13" s="166"/>
      <c r="K13" s="177"/>
      <c r="L13" s="389"/>
      <c r="M13" s="390"/>
      <c r="N13" s="219"/>
      <c r="O13" s="285"/>
      <c r="P13" s="285"/>
      <c r="Q13" s="285"/>
      <c r="R13" s="285"/>
      <c r="S13" s="281"/>
      <c r="T13" s="280"/>
      <c r="U13" s="285"/>
      <c r="V13" s="386"/>
      <c r="Z13" s="4"/>
      <c r="AC13" s="4"/>
    </row>
    <row r="14" spans="1:29" s="1" customFormat="1" ht="16.5" x14ac:dyDescent="0.25">
      <c r="A14" s="182" t="s">
        <v>223</v>
      </c>
      <c r="B14" s="310" t="s">
        <v>12</v>
      </c>
      <c r="C14" s="166">
        <f>'RETRIBUCIONES 2025'!$B$4</f>
        <v>1326.9</v>
      </c>
      <c r="D14" s="166">
        <f t="shared" ref="D14:D44" si="0">C14*12</f>
        <v>15922.800000000001</v>
      </c>
      <c r="E14" s="180">
        <f>51.07+31.53</f>
        <v>82.6</v>
      </c>
      <c r="F14" s="177">
        <f t="shared" ref="F14:F44" si="1">E14*12</f>
        <v>991.19999999999993</v>
      </c>
      <c r="G14" s="181">
        <v>28</v>
      </c>
      <c r="H14" s="180">
        <f>'RETRIBUCIONES 2025'!$U$14</f>
        <v>995.93</v>
      </c>
      <c r="I14" s="166">
        <f t="shared" ref="I14:I44" si="2">H14*12</f>
        <v>11951.16</v>
      </c>
      <c r="J14" s="180">
        <v>2118.6799999999998</v>
      </c>
      <c r="K14" s="177">
        <f t="shared" ref="K14:K44" si="3">J14*12</f>
        <v>25424.159999999996</v>
      </c>
      <c r="L14" s="389">
        <f t="shared" ref="L14:L44" si="4">C14+E14+H14+J14</f>
        <v>4524.1099999999997</v>
      </c>
      <c r="M14" s="390">
        <f t="shared" ref="M14:M44" si="5">D14+F14+I14+K14</f>
        <v>54289.319999999992</v>
      </c>
      <c r="N14" s="179">
        <f>'RETRIBUCIONES 2025'!$B$9</f>
        <v>818.82</v>
      </c>
      <c r="O14" s="180">
        <v>0</v>
      </c>
      <c r="P14" s="308">
        <f>SUM(N14:O14)</f>
        <v>818.82</v>
      </c>
      <c r="Q14" s="285">
        <f t="shared" ref="Q14:Q44" si="6">H14</f>
        <v>995.93</v>
      </c>
      <c r="R14" s="285">
        <f t="shared" ref="R14:R44" si="7">J14</f>
        <v>2118.6799999999998</v>
      </c>
      <c r="S14" s="281">
        <f t="shared" ref="S14:S44" si="8">P14+Q14+R14</f>
        <v>3933.43</v>
      </c>
      <c r="T14" s="280">
        <f t="shared" ref="T14:T44" si="9">M14+S14*2</f>
        <v>62156.179999999993</v>
      </c>
      <c r="U14" s="285">
        <f t="shared" ref="U14:U44" si="10">T14*0.33</f>
        <v>20511.539399999998</v>
      </c>
      <c r="V14" s="386">
        <f t="shared" ref="V14:V44" si="11">T14+U14</f>
        <v>82667.719399999987</v>
      </c>
      <c r="Z14" s="4"/>
      <c r="AC14" s="4"/>
    </row>
    <row r="15" spans="1:29" s="1" customFormat="1" ht="16.5" x14ac:dyDescent="0.25">
      <c r="A15" s="454"/>
      <c r="B15" s="251"/>
      <c r="C15" s="166"/>
      <c r="D15" s="166"/>
      <c r="E15" s="166"/>
      <c r="F15" s="177"/>
      <c r="G15" s="178"/>
      <c r="H15" s="166"/>
      <c r="I15" s="166"/>
      <c r="J15" s="166"/>
      <c r="K15" s="177"/>
      <c r="L15" s="389"/>
      <c r="M15" s="390"/>
      <c r="N15" s="219"/>
      <c r="O15" s="285"/>
      <c r="P15" s="285"/>
      <c r="Q15" s="285"/>
      <c r="R15" s="285"/>
      <c r="S15" s="281"/>
      <c r="T15" s="280"/>
      <c r="U15" s="285"/>
      <c r="V15" s="386"/>
      <c r="Z15" s="4"/>
      <c r="AC15" s="4"/>
    </row>
    <row r="16" spans="1:29" s="1" customFormat="1" ht="18" customHeight="1" x14ac:dyDescent="0.25">
      <c r="A16" s="454" t="s">
        <v>224</v>
      </c>
      <c r="B16" s="251" t="s">
        <v>12</v>
      </c>
      <c r="C16" s="166">
        <f>'RETRIBUCIONES 2025'!$B$4</f>
        <v>1326.9</v>
      </c>
      <c r="D16" s="166">
        <f t="shared" si="0"/>
        <v>15922.800000000001</v>
      </c>
      <c r="E16" s="166">
        <v>0</v>
      </c>
      <c r="F16" s="177">
        <f t="shared" si="1"/>
        <v>0</v>
      </c>
      <c r="G16" s="178" t="s">
        <v>59</v>
      </c>
      <c r="H16" s="166">
        <f>'RETRIBUCIONES 2025'!$U$14</f>
        <v>995.93</v>
      </c>
      <c r="I16" s="166">
        <f t="shared" si="2"/>
        <v>11951.16</v>
      </c>
      <c r="J16" s="166">
        <v>1830.36</v>
      </c>
      <c r="K16" s="177">
        <f t="shared" si="3"/>
        <v>21964.32</v>
      </c>
      <c r="L16" s="389">
        <f t="shared" si="4"/>
        <v>4153.1899999999996</v>
      </c>
      <c r="M16" s="390">
        <f t="shared" si="5"/>
        <v>49838.28</v>
      </c>
      <c r="N16" s="219">
        <f>'RETRIBUCIONES 2025'!$B$9</f>
        <v>818.82</v>
      </c>
      <c r="O16" s="285">
        <v>0</v>
      </c>
      <c r="P16" s="285">
        <f>SUM(N16:O16)</f>
        <v>818.82</v>
      </c>
      <c r="Q16" s="285">
        <f t="shared" si="6"/>
        <v>995.93</v>
      </c>
      <c r="R16" s="285">
        <f t="shared" si="7"/>
        <v>1830.36</v>
      </c>
      <c r="S16" s="281">
        <f t="shared" si="8"/>
        <v>3645.1099999999997</v>
      </c>
      <c r="T16" s="280">
        <f t="shared" si="9"/>
        <v>57128.5</v>
      </c>
      <c r="U16" s="285">
        <f t="shared" si="10"/>
        <v>18852.405000000002</v>
      </c>
      <c r="V16" s="386">
        <f t="shared" si="11"/>
        <v>75980.904999999999</v>
      </c>
      <c r="Z16" s="4"/>
      <c r="AC16" s="4"/>
    </row>
    <row r="17" spans="1:29" s="1" customFormat="1" ht="18" customHeight="1" x14ac:dyDescent="0.25">
      <c r="A17" s="454"/>
      <c r="B17" s="251"/>
      <c r="C17" s="166"/>
      <c r="D17" s="166"/>
      <c r="E17" s="166"/>
      <c r="F17" s="177"/>
      <c r="G17" s="178"/>
      <c r="H17" s="166"/>
      <c r="I17" s="166"/>
      <c r="J17" s="166"/>
      <c r="K17" s="177"/>
      <c r="L17" s="389"/>
      <c r="M17" s="390"/>
      <c r="N17" s="219"/>
      <c r="O17" s="285"/>
      <c r="P17" s="285"/>
      <c r="Q17" s="285"/>
      <c r="R17" s="285"/>
      <c r="S17" s="281"/>
      <c r="T17" s="280"/>
      <c r="U17" s="285"/>
      <c r="V17" s="386"/>
      <c r="Z17" s="4"/>
      <c r="AC17" s="4"/>
    </row>
    <row r="18" spans="1:29" s="1" customFormat="1" ht="18" customHeight="1" x14ac:dyDescent="0.25">
      <c r="A18" s="455" t="s">
        <v>18</v>
      </c>
      <c r="B18" s="255"/>
      <c r="C18" s="183">
        <f t="shared" ref="C18:P18" si="12">SUM(C12:C17)</f>
        <v>3980.7000000000003</v>
      </c>
      <c r="D18" s="184">
        <f t="shared" si="0"/>
        <v>47768.4</v>
      </c>
      <c r="E18" s="183">
        <f t="shared" si="12"/>
        <v>389.02</v>
      </c>
      <c r="F18" s="185">
        <f t="shared" si="1"/>
        <v>4668.24</v>
      </c>
      <c r="G18" s="186"/>
      <c r="H18" s="183">
        <f t="shared" si="12"/>
        <v>3150.9199999999996</v>
      </c>
      <c r="I18" s="184">
        <f t="shared" si="2"/>
        <v>37811.039999999994</v>
      </c>
      <c r="J18" s="183">
        <f t="shared" si="12"/>
        <v>6400.5599999999995</v>
      </c>
      <c r="K18" s="185">
        <f t="shared" si="3"/>
        <v>76806.720000000001</v>
      </c>
      <c r="L18" s="306">
        <f t="shared" si="4"/>
        <v>13921.199999999999</v>
      </c>
      <c r="M18" s="391">
        <f t="shared" si="5"/>
        <v>167054.39999999999</v>
      </c>
      <c r="N18" s="187">
        <f t="shared" si="12"/>
        <v>2456.46</v>
      </c>
      <c r="O18" s="183">
        <f t="shared" si="12"/>
        <v>0</v>
      </c>
      <c r="P18" s="183">
        <f t="shared" si="12"/>
        <v>2456.46</v>
      </c>
      <c r="Q18" s="392">
        <f t="shared" si="6"/>
        <v>3150.9199999999996</v>
      </c>
      <c r="R18" s="392">
        <f t="shared" si="7"/>
        <v>6400.5599999999995</v>
      </c>
      <c r="S18" s="393">
        <f t="shared" si="8"/>
        <v>12007.939999999999</v>
      </c>
      <c r="T18" s="394">
        <f t="shared" si="9"/>
        <v>191070.28</v>
      </c>
      <c r="U18" s="392">
        <f t="shared" si="10"/>
        <v>63053.1924</v>
      </c>
      <c r="V18" s="391">
        <f t="shared" si="11"/>
        <v>254123.4724</v>
      </c>
      <c r="Z18" s="4"/>
      <c r="AC18" s="4"/>
    </row>
    <row r="19" spans="1:29" s="1" customFormat="1" ht="16.5" x14ac:dyDescent="0.25">
      <c r="A19" s="454"/>
      <c r="B19" s="251"/>
      <c r="C19" s="166"/>
      <c r="D19" s="166"/>
      <c r="E19" s="166"/>
      <c r="F19" s="177"/>
      <c r="G19" s="178"/>
      <c r="H19" s="166"/>
      <c r="I19" s="166"/>
      <c r="J19" s="166"/>
      <c r="K19" s="177"/>
      <c r="L19" s="389"/>
      <c r="M19" s="390"/>
      <c r="N19" s="219"/>
      <c r="O19" s="285"/>
      <c r="P19" s="285"/>
      <c r="Q19" s="285"/>
      <c r="R19" s="285"/>
      <c r="S19" s="281"/>
      <c r="T19" s="280"/>
      <c r="U19" s="285"/>
      <c r="V19" s="386"/>
    </row>
    <row r="20" spans="1:29" s="1" customFormat="1" ht="15" customHeight="1" x14ac:dyDescent="0.25">
      <c r="A20" s="454" t="s">
        <v>226</v>
      </c>
      <c r="B20" s="251" t="s">
        <v>13</v>
      </c>
      <c r="C20" s="166">
        <f>'RETRIBUCIONES 2025'!C4</f>
        <v>1147.3499999999999</v>
      </c>
      <c r="D20" s="166">
        <f t="shared" si="0"/>
        <v>13768.199999999999</v>
      </c>
      <c r="E20" s="166">
        <f>5*'RETRIBUCIONES 2025'!C6</f>
        <v>0</v>
      </c>
      <c r="F20" s="177">
        <f t="shared" si="1"/>
        <v>0</v>
      </c>
      <c r="G20" s="178" t="s">
        <v>100</v>
      </c>
      <c r="H20" s="166">
        <f>'RETRIBUCIONES 2025'!$R$14</f>
        <v>741.15</v>
      </c>
      <c r="I20" s="166">
        <f t="shared" si="2"/>
        <v>8893.7999999999993</v>
      </c>
      <c r="J20" s="166">
        <v>1539.4</v>
      </c>
      <c r="K20" s="177">
        <f t="shared" si="3"/>
        <v>18472.800000000003</v>
      </c>
      <c r="L20" s="389">
        <f t="shared" si="4"/>
        <v>3427.9</v>
      </c>
      <c r="M20" s="390">
        <f t="shared" si="5"/>
        <v>41134.800000000003</v>
      </c>
      <c r="N20" s="219">
        <f>'RETRIBUCIONES 2025'!$C$9</f>
        <v>836.78</v>
      </c>
      <c r="O20" s="285">
        <v>0</v>
      </c>
      <c r="P20" s="285">
        <f>SUM(N20:O20)</f>
        <v>836.78</v>
      </c>
      <c r="Q20" s="285">
        <f t="shared" si="6"/>
        <v>741.15</v>
      </c>
      <c r="R20" s="285">
        <f t="shared" si="7"/>
        <v>1539.4</v>
      </c>
      <c r="S20" s="281">
        <f t="shared" si="8"/>
        <v>3117.33</v>
      </c>
      <c r="T20" s="280">
        <f t="shared" si="9"/>
        <v>47369.460000000006</v>
      </c>
      <c r="U20" s="285">
        <f t="shared" si="10"/>
        <v>15631.921800000004</v>
      </c>
      <c r="V20" s="386">
        <f t="shared" si="11"/>
        <v>63001.38180000001</v>
      </c>
    </row>
    <row r="21" spans="1:29" s="1" customFormat="1" ht="16.5" x14ac:dyDescent="0.25">
      <c r="A21" s="454"/>
      <c r="B21" s="251"/>
      <c r="C21" s="166"/>
      <c r="D21" s="166"/>
      <c r="E21" s="166"/>
      <c r="F21" s="177"/>
      <c r="G21" s="178"/>
      <c r="H21" s="166"/>
      <c r="I21" s="166"/>
      <c r="J21" s="166"/>
      <c r="K21" s="177"/>
      <c r="L21" s="389"/>
      <c r="M21" s="390"/>
      <c r="N21" s="219"/>
      <c r="O21" s="285"/>
      <c r="P21" s="285"/>
      <c r="Q21" s="285"/>
      <c r="R21" s="285"/>
      <c r="S21" s="281"/>
      <c r="T21" s="280"/>
      <c r="U21" s="285"/>
      <c r="V21" s="386"/>
    </row>
    <row r="22" spans="1:29" s="1" customFormat="1" ht="16.5" x14ac:dyDescent="0.25">
      <c r="A22" s="454" t="s">
        <v>225</v>
      </c>
      <c r="B22" s="251" t="s">
        <v>13</v>
      </c>
      <c r="C22" s="166">
        <v>1147.3499999999999</v>
      </c>
      <c r="D22" s="166">
        <f t="shared" si="0"/>
        <v>13768.199999999999</v>
      </c>
      <c r="E22" s="166">
        <f>1*'[1]RETRIBUCIONES 2024'!$C$5</f>
        <v>41.65</v>
      </c>
      <c r="F22" s="177">
        <f t="shared" si="1"/>
        <v>499.79999999999995</v>
      </c>
      <c r="G22" s="178">
        <v>25</v>
      </c>
      <c r="H22" s="166">
        <f>'[1]RETRIBUCIONES 2024'!$R$14</f>
        <v>741.15</v>
      </c>
      <c r="I22" s="166">
        <f t="shared" si="2"/>
        <v>8893.7999999999993</v>
      </c>
      <c r="J22" s="166">
        <v>1539.4</v>
      </c>
      <c r="K22" s="177">
        <f t="shared" si="3"/>
        <v>18472.800000000003</v>
      </c>
      <c r="L22" s="389">
        <f t="shared" si="4"/>
        <v>3469.55</v>
      </c>
      <c r="M22" s="390">
        <f t="shared" si="5"/>
        <v>41634.6</v>
      </c>
      <c r="N22" s="219">
        <f>'[1]RETRIBUCIONES 2024'!$C$9</f>
        <v>836.78</v>
      </c>
      <c r="O22" s="166">
        <f>'[1]RETRIBUCIONES 2024'!$C$10</f>
        <v>30.37</v>
      </c>
      <c r="P22" s="285">
        <f>SUM(N22:O22)</f>
        <v>867.15</v>
      </c>
      <c r="Q22" s="285">
        <f t="shared" si="6"/>
        <v>741.15</v>
      </c>
      <c r="R22" s="285">
        <f t="shared" si="7"/>
        <v>1539.4</v>
      </c>
      <c r="S22" s="281">
        <f t="shared" si="8"/>
        <v>3147.7</v>
      </c>
      <c r="T22" s="280">
        <f t="shared" si="9"/>
        <v>47930</v>
      </c>
      <c r="U22" s="285">
        <f t="shared" si="10"/>
        <v>15816.900000000001</v>
      </c>
      <c r="V22" s="386">
        <f t="shared" si="11"/>
        <v>63746.9</v>
      </c>
    </row>
    <row r="23" spans="1:29" s="1" customFormat="1" ht="16.5" x14ac:dyDescent="0.25">
      <c r="A23" s="454"/>
      <c r="B23" s="251"/>
      <c r="C23" s="166"/>
      <c r="D23" s="166"/>
      <c r="E23" s="166"/>
      <c r="F23" s="177"/>
      <c r="G23" s="178"/>
      <c r="H23" s="166"/>
      <c r="I23" s="166"/>
      <c r="J23" s="166"/>
      <c r="K23" s="177"/>
      <c r="L23" s="389"/>
      <c r="M23" s="390"/>
      <c r="N23" s="219"/>
      <c r="O23" s="285"/>
      <c r="P23" s="285"/>
      <c r="Q23" s="285"/>
      <c r="R23" s="285"/>
      <c r="S23" s="281"/>
      <c r="T23" s="280"/>
      <c r="U23" s="285"/>
      <c r="V23" s="386"/>
    </row>
    <row r="24" spans="1:29" s="1" customFormat="1" ht="16.5" x14ac:dyDescent="0.25">
      <c r="A24" s="454" t="s">
        <v>228</v>
      </c>
      <c r="B24" s="251" t="s">
        <v>13</v>
      </c>
      <c r="C24" s="166">
        <f>'RETRIBUCIONES 2025'!C4</f>
        <v>1147.3499999999999</v>
      </c>
      <c r="D24" s="166">
        <f t="shared" si="0"/>
        <v>13768.199999999999</v>
      </c>
      <c r="E24" s="166">
        <f>5*'RETRIBUCIONES 2025'!C6</f>
        <v>0</v>
      </c>
      <c r="F24" s="177">
        <f t="shared" si="1"/>
        <v>0</v>
      </c>
      <c r="G24" s="178">
        <v>25</v>
      </c>
      <c r="H24" s="166">
        <f>'RETRIBUCIONES 2025'!$R$14</f>
        <v>741.15</v>
      </c>
      <c r="I24" s="166">
        <f t="shared" si="2"/>
        <v>8893.7999999999993</v>
      </c>
      <c r="J24" s="166">
        <v>1539.4</v>
      </c>
      <c r="K24" s="177">
        <f t="shared" si="3"/>
        <v>18472.800000000003</v>
      </c>
      <c r="L24" s="389">
        <f t="shared" si="4"/>
        <v>3427.9</v>
      </c>
      <c r="M24" s="390">
        <f t="shared" si="5"/>
        <v>41134.800000000003</v>
      </c>
      <c r="N24" s="219">
        <f>'RETRIBUCIONES 2025'!$C$9</f>
        <v>836.78</v>
      </c>
      <c r="O24" s="285">
        <v>0</v>
      </c>
      <c r="P24" s="285">
        <f>SUM(N24:O24)</f>
        <v>836.78</v>
      </c>
      <c r="Q24" s="285">
        <f t="shared" si="6"/>
        <v>741.15</v>
      </c>
      <c r="R24" s="285">
        <f t="shared" si="7"/>
        <v>1539.4</v>
      </c>
      <c r="S24" s="281">
        <f t="shared" si="8"/>
        <v>3117.33</v>
      </c>
      <c r="T24" s="280">
        <f t="shared" si="9"/>
        <v>47369.460000000006</v>
      </c>
      <c r="U24" s="285">
        <f t="shared" si="10"/>
        <v>15631.921800000004</v>
      </c>
      <c r="V24" s="386">
        <f t="shared" si="11"/>
        <v>63001.38180000001</v>
      </c>
    </row>
    <row r="25" spans="1:29" s="1" customFormat="1" ht="16.5" x14ac:dyDescent="0.25">
      <c r="A25" s="453"/>
      <c r="B25" s="256"/>
      <c r="C25" s="188"/>
      <c r="D25" s="166"/>
      <c r="E25" s="188"/>
      <c r="F25" s="177"/>
      <c r="G25" s="189"/>
      <c r="H25" s="188"/>
      <c r="I25" s="166"/>
      <c r="J25" s="188"/>
      <c r="K25" s="177"/>
      <c r="L25" s="389"/>
      <c r="M25" s="390"/>
      <c r="N25" s="305"/>
      <c r="O25" s="294"/>
      <c r="P25" s="294"/>
      <c r="Q25" s="285"/>
      <c r="R25" s="285"/>
      <c r="S25" s="281"/>
      <c r="T25" s="280"/>
      <c r="U25" s="285"/>
      <c r="V25" s="386"/>
    </row>
    <row r="26" spans="1:29" s="1" customFormat="1" ht="16.5" x14ac:dyDescent="0.25">
      <c r="A26" s="455" t="s">
        <v>19</v>
      </c>
      <c r="B26" s="255"/>
      <c r="C26" s="183">
        <f>SUM(C20:C24)</f>
        <v>3442.0499999999997</v>
      </c>
      <c r="D26" s="184">
        <f t="shared" si="0"/>
        <v>41304.6</v>
      </c>
      <c r="E26" s="183">
        <f>SUM(E20:E24)</f>
        <v>41.65</v>
      </c>
      <c r="F26" s="185">
        <f t="shared" si="1"/>
        <v>499.79999999999995</v>
      </c>
      <c r="G26" s="186"/>
      <c r="H26" s="183">
        <f t="shared" ref="H26:O26" si="13">SUM(H20:H24)</f>
        <v>2223.4499999999998</v>
      </c>
      <c r="I26" s="184">
        <f t="shared" si="2"/>
        <v>26681.399999999998</v>
      </c>
      <c r="J26" s="183">
        <f t="shared" si="13"/>
        <v>4618.2000000000007</v>
      </c>
      <c r="K26" s="185">
        <f t="shared" si="3"/>
        <v>55418.400000000009</v>
      </c>
      <c r="L26" s="306">
        <f t="shared" si="4"/>
        <v>10325.35</v>
      </c>
      <c r="M26" s="391">
        <f t="shared" si="5"/>
        <v>123904.20000000001</v>
      </c>
      <c r="N26" s="187">
        <f t="shared" si="13"/>
        <v>2510.34</v>
      </c>
      <c r="O26" s="183">
        <f t="shared" si="13"/>
        <v>30.37</v>
      </c>
      <c r="P26" s="183">
        <f>SUM(P20:P24)</f>
        <v>2540.71</v>
      </c>
      <c r="Q26" s="392">
        <f t="shared" si="6"/>
        <v>2223.4499999999998</v>
      </c>
      <c r="R26" s="392">
        <f t="shared" si="7"/>
        <v>4618.2000000000007</v>
      </c>
      <c r="S26" s="393">
        <f t="shared" si="8"/>
        <v>9382.36</v>
      </c>
      <c r="T26" s="394">
        <f t="shared" si="9"/>
        <v>142668.92000000001</v>
      </c>
      <c r="U26" s="392">
        <f t="shared" si="10"/>
        <v>47080.743600000009</v>
      </c>
      <c r="V26" s="391">
        <f t="shared" si="11"/>
        <v>189749.66360000003</v>
      </c>
    </row>
    <row r="27" spans="1:29" s="1" customFormat="1" ht="16.5" x14ac:dyDescent="0.25">
      <c r="A27" s="454"/>
      <c r="B27" s="251"/>
      <c r="C27" s="166"/>
      <c r="D27" s="166"/>
      <c r="E27" s="166"/>
      <c r="F27" s="177"/>
      <c r="G27" s="178"/>
      <c r="H27" s="166"/>
      <c r="I27" s="166"/>
      <c r="J27" s="166"/>
      <c r="K27" s="177"/>
      <c r="L27" s="389"/>
      <c r="M27" s="390"/>
      <c r="N27" s="219"/>
      <c r="O27" s="294"/>
      <c r="P27" s="294"/>
      <c r="Q27" s="285"/>
      <c r="R27" s="285"/>
      <c r="S27" s="281"/>
      <c r="T27" s="280"/>
      <c r="U27" s="285"/>
      <c r="V27" s="386"/>
    </row>
    <row r="28" spans="1:29" s="1" customFormat="1" ht="16.5" x14ac:dyDescent="0.25">
      <c r="A28" s="454" t="s">
        <v>227</v>
      </c>
      <c r="B28" s="251" t="s">
        <v>15</v>
      </c>
      <c r="C28" s="166">
        <f>'RETRIBUCIONES 2025'!$E$4</f>
        <v>861.46</v>
      </c>
      <c r="D28" s="166">
        <f t="shared" si="0"/>
        <v>10337.52</v>
      </c>
      <c r="E28" s="166">
        <f>('RETRIBUCIONES 2025'!$F$5*4)+('RETRIBUCIONES 2025'!$E$5*3)</f>
        <v>180.43</v>
      </c>
      <c r="F28" s="177">
        <f t="shared" si="1"/>
        <v>2165.16</v>
      </c>
      <c r="G28" s="178">
        <v>20</v>
      </c>
      <c r="H28" s="166">
        <f>'RETRIBUCIONES 2025'!$M$14</f>
        <v>526.09</v>
      </c>
      <c r="I28" s="166">
        <f t="shared" si="2"/>
        <v>6313.08</v>
      </c>
      <c r="J28" s="166">
        <v>817.02</v>
      </c>
      <c r="K28" s="177">
        <f t="shared" si="3"/>
        <v>9804.24</v>
      </c>
      <c r="L28" s="389">
        <f t="shared" si="4"/>
        <v>2385</v>
      </c>
      <c r="M28" s="390">
        <f t="shared" si="5"/>
        <v>28620</v>
      </c>
      <c r="N28" s="219">
        <f>'RETRIBUCIONES 2025'!$E$9</f>
        <v>744.56</v>
      </c>
      <c r="O28" s="166">
        <f>('RETRIBUCIONES 2025'!$F$10*4)+('RETRIBUCIONES 2025'!$E$10*3)</f>
        <v>166.58999999999997</v>
      </c>
      <c r="P28" s="285">
        <f>SUM(N28:O28)</f>
        <v>911.14999999999986</v>
      </c>
      <c r="Q28" s="285">
        <f t="shared" si="6"/>
        <v>526.09</v>
      </c>
      <c r="R28" s="285">
        <f t="shared" si="7"/>
        <v>817.02</v>
      </c>
      <c r="S28" s="281">
        <f t="shared" si="8"/>
        <v>2254.2599999999998</v>
      </c>
      <c r="T28" s="280">
        <f t="shared" si="9"/>
        <v>33128.519999999997</v>
      </c>
      <c r="U28" s="285">
        <f t="shared" si="10"/>
        <v>10932.411599999999</v>
      </c>
      <c r="V28" s="386">
        <f t="shared" si="11"/>
        <v>44060.931599999996</v>
      </c>
    </row>
    <row r="29" spans="1:29" s="4" customFormat="1" ht="16.5" x14ac:dyDescent="0.25">
      <c r="A29" s="454"/>
      <c r="B29" s="251"/>
      <c r="C29" s="166"/>
      <c r="D29" s="166"/>
      <c r="E29" s="166"/>
      <c r="F29" s="177"/>
      <c r="G29" s="178"/>
      <c r="H29" s="166"/>
      <c r="I29" s="166"/>
      <c r="J29" s="166"/>
      <c r="K29" s="177"/>
      <c r="L29" s="389"/>
      <c r="M29" s="390"/>
      <c r="N29" s="219"/>
      <c r="O29" s="166"/>
      <c r="P29" s="285"/>
      <c r="Q29" s="285"/>
      <c r="R29" s="285"/>
      <c r="S29" s="281"/>
      <c r="T29" s="280"/>
      <c r="U29" s="285"/>
      <c r="V29" s="386"/>
    </row>
    <row r="30" spans="1:29" s="4" customFormat="1" ht="15" customHeight="1" x14ac:dyDescent="0.25">
      <c r="A30" s="454" t="s">
        <v>227</v>
      </c>
      <c r="B30" s="251" t="s">
        <v>15</v>
      </c>
      <c r="C30" s="166">
        <f>'RETRIBUCIONES 2025'!$E$4</f>
        <v>861.46</v>
      </c>
      <c r="D30" s="166">
        <f t="shared" si="0"/>
        <v>10337.52</v>
      </c>
      <c r="E30" s="166">
        <f>'RETRIBUCIONES 2025'!$E$5*7</f>
        <v>220.71</v>
      </c>
      <c r="F30" s="177">
        <f t="shared" si="1"/>
        <v>2648.52</v>
      </c>
      <c r="G30" s="178">
        <v>20</v>
      </c>
      <c r="H30" s="166">
        <f>'RETRIBUCIONES 2025'!$M$14</f>
        <v>526.09</v>
      </c>
      <c r="I30" s="166">
        <f t="shared" si="2"/>
        <v>6313.08</v>
      </c>
      <c r="J30" s="166">
        <v>817.02</v>
      </c>
      <c r="K30" s="177">
        <f t="shared" si="3"/>
        <v>9804.24</v>
      </c>
      <c r="L30" s="389">
        <f t="shared" si="4"/>
        <v>2425.2800000000002</v>
      </c>
      <c r="M30" s="390">
        <f t="shared" si="5"/>
        <v>29103.360000000001</v>
      </c>
      <c r="N30" s="219">
        <f>'RETRIBUCIONES 2025'!$E$9</f>
        <v>744.56</v>
      </c>
      <c r="O30" s="285">
        <f>'RETRIBUCIONES 2025'!$E$10*7</f>
        <v>190.47</v>
      </c>
      <c r="P30" s="285">
        <f>SUM(N30:O30)</f>
        <v>935.03</v>
      </c>
      <c r="Q30" s="285">
        <f t="shared" si="6"/>
        <v>526.09</v>
      </c>
      <c r="R30" s="285">
        <f t="shared" si="7"/>
        <v>817.02</v>
      </c>
      <c r="S30" s="281">
        <f t="shared" si="8"/>
        <v>2278.14</v>
      </c>
      <c r="T30" s="280">
        <f t="shared" si="9"/>
        <v>33659.64</v>
      </c>
      <c r="U30" s="285">
        <f t="shared" si="10"/>
        <v>11107.681200000001</v>
      </c>
      <c r="V30" s="386">
        <f t="shared" si="11"/>
        <v>44767.321199999998</v>
      </c>
    </row>
    <row r="31" spans="1:29" s="4" customFormat="1" ht="16.5" x14ac:dyDescent="0.25">
      <c r="A31" s="454"/>
      <c r="B31" s="251"/>
      <c r="C31" s="166"/>
      <c r="D31" s="166"/>
      <c r="E31" s="166"/>
      <c r="F31" s="177"/>
      <c r="G31" s="178"/>
      <c r="H31" s="166"/>
      <c r="I31" s="166"/>
      <c r="J31" s="166"/>
      <c r="K31" s="177"/>
      <c r="L31" s="389"/>
      <c r="M31" s="390"/>
      <c r="N31" s="219"/>
      <c r="O31" s="285"/>
      <c r="P31" s="285"/>
      <c r="Q31" s="285"/>
      <c r="R31" s="285"/>
      <c r="S31" s="281"/>
      <c r="T31" s="280"/>
      <c r="U31" s="285"/>
      <c r="V31" s="386"/>
    </row>
    <row r="32" spans="1:29" s="4" customFormat="1" ht="16.5" x14ac:dyDescent="0.25">
      <c r="A32" s="454" t="s">
        <v>227</v>
      </c>
      <c r="B32" s="251" t="s">
        <v>15</v>
      </c>
      <c r="C32" s="166">
        <f>'RETRIBUCIONES 2025'!$E$4</f>
        <v>861.46</v>
      </c>
      <c r="D32" s="166">
        <f t="shared" si="0"/>
        <v>10337.52</v>
      </c>
      <c r="E32" s="166">
        <f>'RETRIBUCIONES 2025'!$E$5*2</f>
        <v>63.06</v>
      </c>
      <c r="F32" s="177">
        <f t="shared" si="1"/>
        <v>756.72</v>
      </c>
      <c r="G32" s="178">
        <v>20</v>
      </c>
      <c r="H32" s="166">
        <f>'RETRIBUCIONES 2025'!$M$14</f>
        <v>526.09</v>
      </c>
      <c r="I32" s="166">
        <f t="shared" si="2"/>
        <v>6313.08</v>
      </c>
      <c r="J32" s="166">
        <v>817.02</v>
      </c>
      <c r="K32" s="177">
        <f t="shared" si="3"/>
        <v>9804.24</v>
      </c>
      <c r="L32" s="389">
        <f t="shared" si="4"/>
        <v>2267.63</v>
      </c>
      <c r="M32" s="390">
        <f t="shared" si="5"/>
        <v>27211.559999999998</v>
      </c>
      <c r="N32" s="219">
        <f>'RETRIBUCIONES 2025'!$E$9</f>
        <v>744.56</v>
      </c>
      <c r="O32" s="285">
        <f>'RETRIBUCIONES 2025'!$E$10*2</f>
        <v>54.42</v>
      </c>
      <c r="P32" s="285">
        <f>SUM(N32:O32)</f>
        <v>798.9799999999999</v>
      </c>
      <c r="Q32" s="285">
        <f t="shared" si="6"/>
        <v>526.09</v>
      </c>
      <c r="R32" s="285">
        <f t="shared" si="7"/>
        <v>817.02</v>
      </c>
      <c r="S32" s="281">
        <f t="shared" si="8"/>
        <v>2142.09</v>
      </c>
      <c r="T32" s="280">
        <f t="shared" si="9"/>
        <v>31495.739999999998</v>
      </c>
      <c r="U32" s="285">
        <f t="shared" si="10"/>
        <v>10393.5942</v>
      </c>
      <c r="V32" s="386">
        <f t="shared" si="11"/>
        <v>41889.334199999998</v>
      </c>
    </row>
    <row r="33" spans="1:23" s="4" customFormat="1" ht="15" customHeight="1" x14ac:dyDescent="0.25">
      <c r="A33" s="454"/>
      <c r="B33" s="251"/>
      <c r="C33" s="166"/>
      <c r="D33" s="166"/>
      <c r="E33" s="166"/>
      <c r="F33" s="177"/>
      <c r="G33" s="178"/>
      <c r="H33" s="166"/>
      <c r="I33" s="166"/>
      <c r="J33" s="166"/>
      <c r="K33" s="177"/>
      <c r="L33" s="389"/>
      <c r="M33" s="390"/>
      <c r="N33" s="219"/>
      <c r="O33" s="285"/>
      <c r="P33" s="285"/>
      <c r="Q33" s="285"/>
      <c r="R33" s="285"/>
      <c r="S33" s="281"/>
      <c r="T33" s="280"/>
      <c r="U33" s="285"/>
      <c r="V33" s="386"/>
    </row>
    <row r="34" spans="1:23" s="1" customFormat="1" ht="15" customHeight="1" x14ac:dyDescent="0.25">
      <c r="A34" s="454" t="s">
        <v>227</v>
      </c>
      <c r="B34" s="251" t="s">
        <v>15</v>
      </c>
      <c r="C34" s="166">
        <f>'RETRIBUCIONES 2025'!$E$4</f>
        <v>861.46</v>
      </c>
      <c r="D34" s="166">
        <f t="shared" si="0"/>
        <v>10337.52</v>
      </c>
      <c r="E34" s="166">
        <f>('RETRIBUCIONES 2025'!$F$5*5)+'RETRIBUCIONES 2025'!$E$5*9</f>
        <v>391.07</v>
      </c>
      <c r="F34" s="177">
        <f t="shared" si="1"/>
        <v>4692.84</v>
      </c>
      <c r="G34" s="178">
        <v>20</v>
      </c>
      <c r="H34" s="166">
        <f>'RETRIBUCIONES 2025'!$M$14</f>
        <v>526.09</v>
      </c>
      <c r="I34" s="166">
        <f t="shared" si="2"/>
        <v>6313.08</v>
      </c>
      <c r="J34" s="166">
        <v>962.1</v>
      </c>
      <c r="K34" s="177">
        <f t="shared" si="3"/>
        <v>11545.2</v>
      </c>
      <c r="L34" s="389">
        <f t="shared" si="4"/>
        <v>2740.72</v>
      </c>
      <c r="M34" s="390">
        <f t="shared" si="5"/>
        <v>32888.639999999999</v>
      </c>
      <c r="N34" s="219">
        <f>'RETRIBUCIONES 2025'!$E$9</f>
        <v>744.56</v>
      </c>
      <c r="O34" s="166">
        <f>('RETRIBUCIONES 2025'!$F$10*5)+'RETRIBUCIONES 2025'!$E$10*9</f>
        <v>351.09000000000003</v>
      </c>
      <c r="P34" s="285">
        <f>SUM(N34:O34)</f>
        <v>1095.6500000000001</v>
      </c>
      <c r="Q34" s="285">
        <f t="shared" si="6"/>
        <v>526.09</v>
      </c>
      <c r="R34" s="285">
        <f t="shared" si="7"/>
        <v>962.1</v>
      </c>
      <c r="S34" s="281">
        <f t="shared" si="8"/>
        <v>2583.84</v>
      </c>
      <c r="T34" s="280">
        <f t="shared" si="9"/>
        <v>38056.32</v>
      </c>
      <c r="U34" s="285">
        <f t="shared" si="10"/>
        <v>12558.5856</v>
      </c>
      <c r="V34" s="386">
        <f t="shared" si="11"/>
        <v>50614.905599999998</v>
      </c>
    </row>
    <row r="35" spans="1:23" s="1" customFormat="1" ht="15" customHeight="1" x14ac:dyDescent="0.25">
      <c r="A35" s="454"/>
      <c r="B35" s="251"/>
      <c r="C35" s="166"/>
      <c r="D35" s="166"/>
      <c r="E35" s="166"/>
      <c r="F35" s="177"/>
      <c r="G35" s="178"/>
      <c r="H35" s="166"/>
      <c r="I35" s="166"/>
      <c r="J35" s="166"/>
      <c r="K35" s="177"/>
      <c r="L35" s="389"/>
      <c r="M35" s="390"/>
      <c r="N35" s="219"/>
      <c r="O35" s="285"/>
      <c r="P35" s="285"/>
      <c r="Q35" s="285"/>
      <c r="R35" s="285"/>
      <c r="S35" s="281"/>
      <c r="T35" s="280"/>
      <c r="U35" s="285"/>
      <c r="V35" s="386"/>
    </row>
    <row r="36" spans="1:23" s="1" customFormat="1" ht="15" customHeight="1" x14ac:dyDescent="0.25">
      <c r="A36" s="455" t="s">
        <v>20</v>
      </c>
      <c r="B36" s="255"/>
      <c r="C36" s="183">
        <f>SUM(C28:C34)</f>
        <v>3445.84</v>
      </c>
      <c r="D36" s="184">
        <f t="shared" si="0"/>
        <v>41350.080000000002</v>
      </c>
      <c r="E36" s="183">
        <f>SUM(E28:E34)</f>
        <v>855.27</v>
      </c>
      <c r="F36" s="185">
        <f t="shared" si="1"/>
        <v>10263.24</v>
      </c>
      <c r="G36" s="186"/>
      <c r="H36" s="183">
        <f>SUM(H28:H34)</f>
        <v>2104.36</v>
      </c>
      <c r="I36" s="184">
        <f t="shared" si="2"/>
        <v>25252.32</v>
      </c>
      <c r="J36" s="183">
        <f>SUM(J28:J34)</f>
        <v>3413.16</v>
      </c>
      <c r="K36" s="185">
        <f t="shared" si="3"/>
        <v>40957.919999999998</v>
      </c>
      <c r="L36" s="306">
        <f t="shared" si="4"/>
        <v>9818.630000000001</v>
      </c>
      <c r="M36" s="391">
        <f t="shared" si="5"/>
        <v>117823.56</v>
      </c>
      <c r="N36" s="306">
        <f>SUM(N28:N35)</f>
        <v>2978.24</v>
      </c>
      <c r="O36" s="395">
        <f>SUM(O28:O34)</f>
        <v>762.56999999999994</v>
      </c>
      <c r="P36" s="395">
        <f>SUM(N36:O36)</f>
        <v>3740.8099999999995</v>
      </c>
      <c r="Q36" s="392">
        <f t="shared" si="6"/>
        <v>2104.36</v>
      </c>
      <c r="R36" s="392">
        <f t="shared" si="7"/>
        <v>3413.16</v>
      </c>
      <c r="S36" s="393">
        <f t="shared" si="8"/>
        <v>9258.33</v>
      </c>
      <c r="T36" s="394">
        <f t="shared" si="9"/>
        <v>136340.22</v>
      </c>
      <c r="U36" s="392">
        <f t="shared" si="10"/>
        <v>44992.272600000004</v>
      </c>
      <c r="V36" s="391">
        <f t="shared" si="11"/>
        <v>181332.4926</v>
      </c>
    </row>
    <row r="37" spans="1:23" s="1" customFormat="1" ht="15" customHeight="1" x14ac:dyDescent="0.25">
      <c r="A37" s="454"/>
      <c r="B37" s="251"/>
      <c r="C37" s="166"/>
      <c r="D37" s="166"/>
      <c r="E37" s="166"/>
      <c r="F37" s="177"/>
      <c r="G37" s="178"/>
      <c r="H37" s="166"/>
      <c r="I37" s="166"/>
      <c r="J37" s="166"/>
      <c r="K37" s="177"/>
      <c r="L37" s="389"/>
      <c r="M37" s="390"/>
      <c r="N37" s="219"/>
      <c r="O37" s="285"/>
      <c r="P37" s="285"/>
      <c r="Q37" s="285"/>
      <c r="R37" s="285"/>
      <c r="S37" s="281"/>
      <c r="T37" s="280"/>
      <c r="U37" s="285"/>
      <c r="V37" s="386"/>
    </row>
    <row r="38" spans="1:23" s="1" customFormat="1" ht="15" customHeight="1" x14ac:dyDescent="0.25">
      <c r="A38" s="454" t="s">
        <v>229</v>
      </c>
      <c r="B38" s="251" t="s">
        <v>17</v>
      </c>
      <c r="C38" s="166">
        <f>'RETRIBUCIONES 2025'!$F$4</f>
        <v>716.98</v>
      </c>
      <c r="D38" s="166">
        <f t="shared" si="0"/>
        <v>8603.76</v>
      </c>
      <c r="E38" s="166">
        <v>0</v>
      </c>
      <c r="F38" s="177">
        <f t="shared" si="1"/>
        <v>0</v>
      </c>
      <c r="G38" s="178">
        <v>18</v>
      </c>
      <c r="H38" s="166">
        <f>'RETRIBUCIONES 2025'!$K$14</f>
        <v>472.37</v>
      </c>
      <c r="I38" s="166">
        <f t="shared" si="2"/>
        <v>5668.4400000000005</v>
      </c>
      <c r="J38" s="166">
        <v>610.34</v>
      </c>
      <c r="K38" s="177">
        <f t="shared" si="3"/>
        <v>7324.08</v>
      </c>
      <c r="L38" s="389">
        <f t="shared" si="4"/>
        <v>1799.69</v>
      </c>
      <c r="M38" s="390">
        <f t="shared" si="5"/>
        <v>21596.28</v>
      </c>
      <c r="N38" s="219">
        <f>'RETRIBUCIONES 2025'!$F$9</f>
        <v>710.44</v>
      </c>
      <c r="O38" s="166">
        <v>0</v>
      </c>
      <c r="P38" s="285">
        <f>SUM(N38:O38)</f>
        <v>710.44</v>
      </c>
      <c r="Q38" s="285">
        <f t="shared" si="6"/>
        <v>472.37</v>
      </c>
      <c r="R38" s="285">
        <f t="shared" si="7"/>
        <v>610.34</v>
      </c>
      <c r="S38" s="281">
        <f t="shared" si="8"/>
        <v>1793.15</v>
      </c>
      <c r="T38" s="280">
        <f t="shared" si="9"/>
        <v>25182.579999999998</v>
      </c>
      <c r="U38" s="285">
        <f t="shared" si="10"/>
        <v>8310.2513999999992</v>
      </c>
      <c r="V38" s="386">
        <f t="shared" si="11"/>
        <v>33492.831399999995</v>
      </c>
    </row>
    <row r="39" spans="1:23" s="1" customFormat="1" ht="15" customHeight="1" x14ac:dyDescent="0.25">
      <c r="A39" s="454"/>
      <c r="B39" s="251"/>
      <c r="C39" s="166"/>
      <c r="D39" s="166"/>
      <c r="E39" s="166"/>
      <c r="F39" s="177"/>
      <c r="G39" s="178"/>
      <c r="H39" s="166"/>
      <c r="I39" s="166"/>
      <c r="J39" s="166"/>
      <c r="K39" s="177"/>
      <c r="L39" s="389"/>
      <c r="M39" s="390"/>
      <c r="N39" s="219"/>
      <c r="O39" s="285"/>
      <c r="P39" s="285"/>
      <c r="Q39" s="285"/>
      <c r="R39" s="285"/>
      <c r="S39" s="281"/>
      <c r="T39" s="280"/>
      <c r="U39" s="285"/>
      <c r="V39" s="386"/>
    </row>
    <row r="40" spans="1:23" s="1" customFormat="1" ht="15" customHeight="1" x14ac:dyDescent="0.25">
      <c r="A40" s="454" t="s">
        <v>229</v>
      </c>
      <c r="B40" s="251" t="s">
        <v>230</v>
      </c>
      <c r="C40" s="166">
        <f>'RETRIBUCIONES 2025'!$F$4</f>
        <v>716.98</v>
      </c>
      <c r="D40" s="166">
        <f t="shared" si="0"/>
        <v>8603.76</v>
      </c>
      <c r="E40" s="166">
        <f>('RETRIBUCIONES 2025'!$F$5*5)+('RETRIBUCIONES 2025'!$E$5*4)</f>
        <v>233.42000000000002</v>
      </c>
      <c r="F40" s="177">
        <f t="shared" si="1"/>
        <v>2801.04</v>
      </c>
      <c r="G40" s="178">
        <v>20</v>
      </c>
      <c r="H40" s="166">
        <f>'RETRIBUCIONES 2025'!M14</f>
        <v>526.09</v>
      </c>
      <c r="I40" s="166">
        <f t="shared" si="2"/>
        <v>6313.08</v>
      </c>
      <c r="J40" s="166">
        <v>610.34</v>
      </c>
      <c r="K40" s="177">
        <f t="shared" si="3"/>
        <v>7324.08</v>
      </c>
      <c r="L40" s="389">
        <f t="shared" si="4"/>
        <v>2086.8300000000004</v>
      </c>
      <c r="M40" s="390">
        <f t="shared" si="5"/>
        <v>25041.96</v>
      </c>
      <c r="N40" s="219">
        <f>'RETRIBUCIONES 2025'!$F$9</f>
        <v>710.44</v>
      </c>
      <c r="O40" s="166">
        <f>('RETRIBUCIONES 2025'!$F$10*5)+('RETRIBUCIONES 2025'!$E$10*4)</f>
        <v>215.04</v>
      </c>
      <c r="P40" s="285">
        <f>SUM(N40:O40)</f>
        <v>925.48</v>
      </c>
      <c r="Q40" s="285">
        <f t="shared" si="6"/>
        <v>526.09</v>
      </c>
      <c r="R40" s="285">
        <f t="shared" si="7"/>
        <v>610.34</v>
      </c>
      <c r="S40" s="281">
        <f t="shared" si="8"/>
        <v>2061.9100000000003</v>
      </c>
      <c r="T40" s="280">
        <f t="shared" si="9"/>
        <v>29165.78</v>
      </c>
      <c r="U40" s="285">
        <f t="shared" si="10"/>
        <v>9624.7073999999993</v>
      </c>
      <c r="V40" s="386">
        <f t="shared" si="11"/>
        <v>38790.487399999998</v>
      </c>
    </row>
    <row r="41" spans="1:23" s="1" customFormat="1" ht="15" customHeight="1" x14ac:dyDescent="0.25">
      <c r="A41" s="454"/>
      <c r="B41" s="251"/>
      <c r="C41" s="166"/>
      <c r="D41" s="166"/>
      <c r="E41" s="166"/>
      <c r="F41" s="177"/>
      <c r="G41" s="178"/>
      <c r="H41" s="166"/>
      <c r="I41" s="166"/>
      <c r="J41" s="166"/>
      <c r="K41" s="177"/>
      <c r="L41" s="389"/>
      <c r="M41" s="390"/>
      <c r="N41" s="219"/>
      <c r="O41" s="285"/>
      <c r="P41" s="285"/>
      <c r="Q41" s="285"/>
      <c r="R41" s="285"/>
      <c r="S41" s="281"/>
      <c r="T41" s="280"/>
      <c r="U41" s="285"/>
      <c r="V41" s="386"/>
    </row>
    <row r="42" spans="1:23" s="1" customFormat="1" ht="15" customHeight="1" x14ac:dyDescent="0.25">
      <c r="A42" s="455" t="s">
        <v>21</v>
      </c>
      <c r="B42" s="255"/>
      <c r="C42" s="183">
        <f>SUM(C38:C40)</f>
        <v>1433.96</v>
      </c>
      <c r="D42" s="184">
        <f t="shared" si="0"/>
        <v>17207.52</v>
      </c>
      <c r="E42" s="183">
        <f>SUM(E38:E40)</f>
        <v>233.42000000000002</v>
      </c>
      <c r="F42" s="185">
        <f t="shared" si="1"/>
        <v>2801.04</v>
      </c>
      <c r="G42" s="186"/>
      <c r="H42" s="183">
        <f t="shared" ref="H42:O42" si="14">SUM(H38:H40)</f>
        <v>998.46</v>
      </c>
      <c r="I42" s="184">
        <f t="shared" si="2"/>
        <v>11981.52</v>
      </c>
      <c r="J42" s="183">
        <f t="shared" si="14"/>
        <v>1220.68</v>
      </c>
      <c r="K42" s="185">
        <f t="shared" si="3"/>
        <v>14648.16</v>
      </c>
      <c r="L42" s="306">
        <f t="shared" si="4"/>
        <v>3886.5200000000004</v>
      </c>
      <c r="M42" s="391">
        <f t="shared" si="5"/>
        <v>46638.240000000005</v>
      </c>
      <c r="N42" s="306">
        <f t="shared" si="14"/>
        <v>1420.88</v>
      </c>
      <c r="O42" s="395">
        <f t="shared" si="14"/>
        <v>215.04</v>
      </c>
      <c r="P42" s="395">
        <f>SUM(N42:O42)</f>
        <v>1635.92</v>
      </c>
      <c r="Q42" s="392">
        <f t="shared" si="6"/>
        <v>998.46</v>
      </c>
      <c r="R42" s="392">
        <f t="shared" si="7"/>
        <v>1220.68</v>
      </c>
      <c r="S42" s="393">
        <f t="shared" si="8"/>
        <v>3855.0600000000004</v>
      </c>
      <c r="T42" s="394">
        <f t="shared" si="9"/>
        <v>54348.360000000008</v>
      </c>
      <c r="U42" s="392">
        <f t="shared" si="10"/>
        <v>17934.958800000004</v>
      </c>
      <c r="V42" s="391">
        <f t="shared" si="11"/>
        <v>72283.318800000008</v>
      </c>
    </row>
    <row r="43" spans="1:23" s="1" customFormat="1" ht="15" customHeight="1" x14ac:dyDescent="0.25">
      <c r="A43" s="454"/>
      <c r="B43" s="251"/>
      <c r="C43" s="166"/>
      <c r="D43" s="166"/>
      <c r="E43" s="166"/>
      <c r="F43" s="177"/>
      <c r="G43" s="178"/>
      <c r="H43" s="166"/>
      <c r="I43" s="166"/>
      <c r="J43" s="166"/>
      <c r="K43" s="177"/>
      <c r="L43" s="389"/>
      <c r="M43" s="390"/>
      <c r="N43" s="219"/>
      <c r="O43" s="285"/>
      <c r="P43" s="285"/>
      <c r="Q43" s="285"/>
      <c r="R43" s="285"/>
      <c r="S43" s="281"/>
      <c r="T43" s="280"/>
      <c r="U43" s="285"/>
      <c r="V43" s="386"/>
    </row>
    <row r="44" spans="1:23" s="1" customFormat="1" ht="15" customHeight="1" x14ac:dyDescent="0.25">
      <c r="A44" s="456" t="s">
        <v>22</v>
      </c>
      <c r="B44" s="397"/>
      <c r="C44" s="190">
        <f>C18+C26+C36+C42</f>
        <v>12302.55</v>
      </c>
      <c r="D44" s="191">
        <f t="shared" si="0"/>
        <v>147630.59999999998</v>
      </c>
      <c r="E44" s="190">
        <f>E18+E26+E36+E42</f>
        <v>1519.3600000000001</v>
      </c>
      <c r="F44" s="192">
        <f t="shared" si="1"/>
        <v>18232.32</v>
      </c>
      <c r="G44" s="193"/>
      <c r="H44" s="190">
        <f>H18+H26+H36+H42</f>
        <v>8477.1899999999987</v>
      </c>
      <c r="I44" s="191">
        <f t="shared" si="2"/>
        <v>101726.27999999998</v>
      </c>
      <c r="J44" s="190">
        <f>J18+J26+J36+J42</f>
        <v>15652.6</v>
      </c>
      <c r="K44" s="192">
        <f t="shared" si="3"/>
        <v>187831.2</v>
      </c>
      <c r="L44" s="396">
        <f t="shared" si="4"/>
        <v>37951.699999999997</v>
      </c>
      <c r="M44" s="398">
        <f t="shared" si="5"/>
        <v>455420.39999999997</v>
      </c>
      <c r="N44" s="396">
        <f>SUM(N18,N26,N36,N42)</f>
        <v>9365.92</v>
      </c>
      <c r="O44" s="399">
        <f>O18+O36+O42</f>
        <v>977.6099999999999</v>
      </c>
      <c r="P44" s="399">
        <f>P18+P26+P36+P42</f>
        <v>10373.9</v>
      </c>
      <c r="Q44" s="400">
        <f t="shared" si="6"/>
        <v>8477.1899999999987</v>
      </c>
      <c r="R44" s="400">
        <f t="shared" si="7"/>
        <v>15652.6</v>
      </c>
      <c r="S44" s="401">
        <f t="shared" si="8"/>
        <v>34503.689999999995</v>
      </c>
      <c r="T44" s="402">
        <f t="shared" si="9"/>
        <v>524427.77999999991</v>
      </c>
      <c r="U44" s="400">
        <f t="shared" si="10"/>
        <v>173061.16739999998</v>
      </c>
      <c r="V44" s="398">
        <f t="shared" si="11"/>
        <v>697488.94739999995</v>
      </c>
    </row>
    <row r="45" spans="1:23" s="1" customFormat="1" ht="20.25" customHeight="1" thickBot="1" x14ac:dyDescent="0.3">
      <c r="A45" s="457"/>
      <c r="B45" s="196"/>
      <c r="C45" s="291"/>
      <c r="D45" s="194" t="s">
        <v>125</v>
      </c>
      <c r="E45" s="291"/>
      <c r="F45" s="195" t="s">
        <v>110</v>
      </c>
      <c r="G45" s="196"/>
      <c r="H45" s="291"/>
      <c r="I45" s="194" t="s">
        <v>126</v>
      </c>
      <c r="J45" s="291"/>
      <c r="K45" s="195" t="s">
        <v>127</v>
      </c>
      <c r="L45" s="209"/>
      <c r="M45" s="403"/>
      <c r="N45" s="196"/>
      <c r="O45" s="194"/>
      <c r="P45" s="194" t="s">
        <v>125</v>
      </c>
      <c r="Q45" s="194" t="s">
        <v>126</v>
      </c>
      <c r="R45" s="194" t="s">
        <v>127</v>
      </c>
      <c r="S45" s="195"/>
      <c r="T45" s="404"/>
      <c r="U45" s="291"/>
      <c r="V45" s="405"/>
    </row>
    <row r="46" spans="1:23" s="1" customFormat="1" ht="20.25" customHeight="1" thickBot="1" x14ac:dyDescent="0.3">
      <c r="A46" s="453"/>
      <c r="B46" s="197"/>
      <c r="C46" s="285"/>
      <c r="D46" s="197"/>
      <c r="E46" s="285"/>
      <c r="F46" s="197"/>
      <c r="G46" s="197"/>
      <c r="H46" s="285"/>
      <c r="I46" s="197"/>
      <c r="J46" s="285"/>
      <c r="K46" s="197"/>
      <c r="L46" s="197"/>
      <c r="M46" s="197"/>
      <c r="N46" s="197"/>
      <c r="O46" s="197"/>
      <c r="P46" s="197"/>
      <c r="Q46" s="197"/>
      <c r="R46" s="197"/>
      <c r="S46" s="197"/>
      <c r="T46" s="280"/>
      <c r="U46" s="285"/>
      <c r="V46" s="304"/>
    </row>
    <row r="47" spans="1:23" s="1" customFormat="1" ht="16.5" x14ac:dyDescent="0.2">
      <c r="A47" s="592" t="s">
        <v>23</v>
      </c>
      <c r="B47" s="593"/>
      <c r="C47" s="593"/>
      <c r="D47" s="593"/>
      <c r="E47" s="593"/>
      <c r="F47" s="593"/>
      <c r="G47" s="593"/>
      <c r="H47" s="593"/>
      <c r="I47" s="593"/>
      <c r="J47" s="593"/>
      <c r="K47" s="593"/>
      <c r="L47" s="593"/>
      <c r="M47" s="593"/>
      <c r="N47" s="593"/>
      <c r="O47" s="593"/>
      <c r="P47" s="593"/>
      <c r="Q47" s="593"/>
      <c r="R47" s="593"/>
      <c r="S47" s="593"/>
      <c r="T47" s="593"/>
      <c r="U47" s="593"/>
      <c r="V47" s="594"/>
      <c r="W47" s="4"/>
    </row>
    <row r="48" spans="1:23" s="1" customFormat="1" ht="17.25" thickBot="1" x14ac:dyDescent="0.25">
      <c r="A48" s="540">
        <v>132</v>
      </c>
      <c r="B48" s="541"/>
      <c r="C48" s="541"/>
      <c r="D48" s="541"/>
      <c r="E48" s="541"/>
      <c r="F48" s="541"/>
      <c r="G48" s="541"/>
      <c r="H48" s="541"/>
      <c r="I48" s="541"/>
      <c r="J48" s="541"/>
      <c r="K48" s="541"/>
      <c r="L48" s="541"/>
      <c r="M48" s="541"/>
      <c r="N48" s="541"/>
      <c r="O48" s="541"/>
      <c r="P48" s="541"/>
      <c r="Q48" s="541"/>
      <c r="R48" s="541"/>
      <c r="S48" s="541"/>
      <c r="T48" s="541"/>
      <c r="U48" s="541"/>
      <c r="V48" s="542"/>
      <c r="W48" s="4"/>
    </row>
    <row r="49" spans="1:26" s="1" customFormat="1" ht="16.5" x14ac:dyDescent="0.25">
      <c r="A49" s="198"/>
      <c r="B49" s="169"/>
      <c r="C49" s="167" t="s">
        <v>117</v>
      </c>
      <c r="D49" s="167" t="s">
        <v>117</v>
      </c>
      <c r="E49" s="167">
        <v>12006</v>
      </c>
      <c r="F49" s="168">
        <v>12006</v>
      </c>
      <c r="G49" s="197"/>
      <c r="H49" s="197">
        <v>12100</v>
      </c>
      <c r="I49" s="197">
        <v>12100</v>
      </c>
      <c r="J49" s="197">
        <v>12101</v>
      </c>
      <c r="K49" s="197">
        <v>12101</v>
      </c>
      <c r="L49" s="199"/>
      <c r="M49" s="385"/>
      <c r="N49" s="197"/>
      <c r="O49" s="197"/>
      <c r="P49" s="197">
        <v>120</v>
      </c>
      <c r="Q49" s="197">
        <v>12100</v>
      </c>
      <c r="R49" s="197">
        <v>12101</v>
      </c>
      <c r="S49" s="197"/>
      <c r="T49" s="169"/>
      <c r="U49" s="296"/>
      <c r="V49" s="406"/>
    </row>
    <row r="50" spans="1:26" s="1" customFormat="1" ht="15" customHeight="1" x14ac:dyDescent="0.25">
      <c r="A50" s="453"/>
      <c r="B50" s="510" t="s">
        <v>123</v>
      </c>
      <c r="C50" s="511"/>
      <c r="D50" s="511"/>
      <c r="E50" s="511"/>
      <c r="F50" s="512"/>
      <c r="G50" s="513" t="s">
        <v>124</v>
      </c>
      <c r="H50" s="513"/>
      <c r="I50" s="513"/>
      <c r="J50" s="513"/>
      <c r="K50" s="513"/>
      <c r="L50" s="564" t="s">
        <v>132</v>
      </c>
      <c r="M50" s="565" t="s">
        <v>133</v>
      </c>
      <c r="N50" s="566" t="s">
        <v>2</v>
      </c>
      <c r="O50" s="566"/>
      <c r="P50" s="566"/>
      <c r="Q50" s="566"/>
      <c r="R50" s="566"/>
      <c r="S50" s="566"/>
      <c r="T50" s="343"/>
      <c r="U50" s="280"/>
      <c r="V50" s="407"/>
    </row>
    <row r="51" spans="1:26" s="1" customFormat="1" ht="33.75" thickBot="1" x14ac:dyDescent="0.25">
      <c r="A51" s="172"/>
      <c r="B51" s="268" t="s">
        <v>6</v>
      </c>
      <c r="C51" s="173" t="s">
        <v>144</v>
      </c>
      <c r="D51" s="173" t="s">
        <v>139</v>
      </c>
      <c r="E51" s="173" t="s">
        <v>145</v>
      </c>
      <c r="F51" s="174" t="s">
        <v>140</v>
      </c>
      <c r="G51" s="200" t="s">
        <v>9</v>
      </c>
      <c r="H51" s="173" t="s">
        <v>136</v>
      </c>
      <c r="I51" s="173" t="s">
        <v>135</v>
      </c>
      <c r="J51" s="173" t="s">
        <v>134</v>
      </c>
      <c r="K51" s="173" t="s">
        <v>137</v>
      </c>
      <c r="L51" s="552"/>
      <c r="M51" s="554"/>
      <c r="N51" s="173" t="s">
        <v>10</v>
      </c>
      <c r="O51" s="173" t="s">
        <v>11</v>
      </c>
      <c r="P51" s="173" t="s">
        <v>120</v>
      </c>
      <c r="Q51" s="173" t="s">
        <v>122</v>
      </c>
      <c r="R51" s="173" t="s">
        <v>121</v>
      </c>
      <c r="S51" s="173" t="s">
        <v>116</v>
      </c>
      <c r="T51" s="303" t="s">
        <v>141</v>
      </c>
      <c r="U51" s="173" t="s">
        <v>143</v>
      </c>
      <c r="V51" s="176" t="s">
        <v>142</v>
      </c>
    </row>
    <row r="52" spans="1:26" s="1" customFormat="1" ht="16.5" x14ac:dyDescent="0.25">
      <c r="A52" s="454"/>
      <c r="B52" s="251"/>
      <c r="C52" s="166"/>
      <c r="D52" s="166"/>
      <c r="E52" s="166"/>
      <c r="F52" s="177"/>
      <c r="G52" s="164"/>
      <c r="H52" s="165"/>
      <c r="I52" s="166"/>
      <c r="J52" s="166"/>
      <c r="K52" s="166"/>
      <c r="L52" s="201"/>
      <c r="M52" s="408"/>
      <c r="N52" s="285"/>
      <c r="O52" s="285"/>
      <c r="P52" s="285"/>
      <c r="Q52" s="285"/>
      <c r="R52" s="285"/>
      <c r="S52" s="285"/>
      <c r="T52" s="409"/>
      <c r="U52" s="285"/>
      <c r="V52" s="407"/>
    </row>
    <row r="53" spans="1:26" s="32" customFormat="1" ht="20.100000000000001" customHeight="1" x14ac:dyDescent="0.25">
      <c r="A53" s="454" t="s">
        <v>231</v>
      </c>
      <c r="B53" s="251" t="s">
        <v>13</v>
      </c>
      <c r="C53" s="166">
        <f>'RETRIBUCIONES 2025'!$C$4</f>
        <v>1147.3499999999999</v>
      </c>
      <c r="D53" s="166">
        <f>C53*12</f>
        <v>13768.199999999999</v>
      </c>
      <c r="E53" s="166">
        <v>0</v>
      </c>
      <c r="F53" s="177">
        <f>E53*12</f>
        <v>0</v>
      </c>
      <c r="G53" s="164">
        <v>24</v>
      </c>
      <c r="H53" s="166">
        <f>'RETRIBUCIONES 2025'!Q14</f>
        <v>697.43</v>
      </c>
      <c r="I53" s="308">
        <f>H53*12</f>
        <v>8369.16</v>
      </c>
      <c r="J53" s="166">
        <v>1736.42</v>
      </c>
      <c r="K53" s="308">
        <f>J53*12</f>
        <v>20837.04</v>
      </c>
      <c r="L53" s="201">
        <f>C53+E53+H53+J53</f>
        <v>3581.2</v>
      </c>
      <c r="M53" s="408">
        <f>D53+F53+I53+K53</f>
        <v>42974.400000000001</v>
      </c>
      <c r="N53" s="285">
        <f>'RETRIBUCIONES 2025'!$C$9</f>
        <v>836.78</v>
      </c>
      <c r="O53" s="285">
        <v>0</v>
      </c>
      <c r="P53" s="285">
        <f>SUM(N53:O53)</f>
        <v>836.78</v>
      </c>
      <c r="Q53" s="285">
        <f>H53</f>
        <v>697.43</v>
      </c>
      <c r="R53" s="285">
        <f>J53</f>
        <v>1736.42</v>
      </c>
      <c r="S53" s="285">
        <f>P53+Q53+R53</f>
        <v>3270.63</v>
      </c>
      <c r="T53" s="409">
        <f>M53+S53*2</f>
        <v>49515.66</v>
      </c>
      <c r="U53" s="410">
        <f>T53*0.33</f>
        <v>16340.167800000001</v>
      </c>
      <c r="V53" s="411">
        <f>T53+U53</f>
        <v>65855.827799999999</v>
      </c>
    </row>
    <row r="54" spans="1:26" s="1" customFormat="1" ht="16.5" x14ac:dyDescent="0.25">
      <c r="A54" s="454"/>
      <c r="B54" s="251"/>
      <c r="C54" s="166"/>
      <c r="D54" s="166"/>
      <c r="E54" s="166"/>
      <c r="F54" s="177"/>
      <c r="G54" s="202"/>
      <c r="H54" s="166"/>
      <c r="I54" s="308"/>
      <c r="J54" s="166"/>
      <c r="K54" s="308"/>
      <c r="L54" s="201"/>
      <c r="M54" s="408"/>
      <c r="N54" s="285"/>
      <c r="O54" s="285"/>
      <c r="P54" s="285"/>
      <c r="Q54" s="285"/>
      <c r="R54" s="285"/>
      <c r="S54" s="285"/>
      <c r="T54" s="409">
        <f t="shared" ref="T54:T117" si="15">M54+S54*2</f>
        <v>0</v>
      </c>
      <c r="U54" s="410">
        <f t="shared" ref="U54:U117" si="16">T54*0.33</f>
        <v>0</v>
      </c>
      <c r="V54" s="411">
        <f t="shared" ref="V54:V117" si="17">T54+U54</f>
        <v>0</v>
      </c>
      <c r="X54" s="2"/>
      <c r="Z54" s="3"/>
    </row>
    <row r="55" spans="1:26" s="27" customFormat="1" ht="15" customHeight="1" x14ac:dyDescent="0.25">
      <c r="A55" s="455" t="s">
        <v>19</v>
      </c>
      <c r="B55" s="255"/>
      <c r="C55" s="183">
        <f>SUM(C53:C54)</f>
        <v>1147.3499999999999</v>
      </c>
      <c r="D55" s="184">
        <f t="shared" ref="D55:D119" si="18">C55*12</f>
        <v>13768.199999999999</v>
      </c>
      <c r="E55" s="183">
        <f>SUM(E54:E54)</f>
        <v>0</v>
      </c>
      <c r="F55" s="185">
        <f t="shared" ref="F55:F117" si="19">E55*12</f>
        <v>0</v>
      </c>
      <c r="G55" s="203"/>
      <c r="H55" s="183">
        <f>SUM(H53:H54)</f>
        <v>697.43</v>
      </c>
      <c r="I55" s="412">
        <f t="shared" ref="I55:I117" si="20">H55*12</f>
        <v>8369.16</v>
      </c>
      <c r="J55" s="183">
        <f>SUM(J53:J54)</f>
        <v>1736.42</v>
      </c>
      <c r="K55" s="412">
        <f t="shared" ref="K55:K117" si="21">J55*12</f>
        <v>20837.04</v>
      </c>
      <c r="L55" s="204">
        <f t="shared" ref="L55:L117" si="22">C55+E55+H55+J55</f>
        <v>3581.2</v>
      </c>
      <c r="M55" s="393">
        <f t="shared" ref="M55:M117" si="23">D55+F55+I55+K55</f>
        <v>42974.400000000001</v>
      </c>
      <c r="N55" s="395">
        <f t="shared" ref="N55:O55" si="24">SUM(N53:N54)</f>
        <v>836.78</v>
      </c>
      <c r="O55" s="395">
        <f t="shared" si="24"/>
        <v>0</v>
      </c>
      <c r="P55" s="395">
        <f>SUM(N55:O55)</f>
        <v>836.78</v>
      </c>
      <c r="Q55" s="392">
        <f>H55</f>
        <v>697.43</v>
      </c>
      <c r="R55" s="392">
        <f>J55</f>
        <v>1736.42</v>
      </c>
      <c r="S55" s="392">
        <f>P55+Q55+R55</f>
        <v>3270.63</v>
      </c>
      <c r="T55" s="413">
        <f t="shared" si="15"/>
        <v>49515.66</v>
      </c>
      <c r="U55" s="414">
        <f t="shared" si="16"/>
        <v>16340.167800000001</v>
      </c>
      <c r="V55" s="415">
        <f t="shared" si="17"/>
        <v>65855.827799999999</v>
      </c>
      <c r="X55" s="31"/>
      <c r="Z55" s="30"/>
    </row>
    <row r="56" spans="1:26" s="1" customFormat="1" ht="16.5" x14ac:dyDescent="0.25">
      <c r="A56" s="454"/>
      <c r="B56" s="251"/>
      <c r="C56" s="166"/>
      <c r="D56" s="166"/>
      <c r="E56" s="166"/>
      <c r="F56" s="177"/>
      <c r="G56" s="165"/>
      <c r="H56" s="166"/>
      <c r="I56" s="308"/>
      <c r="J56" s="166"/>
      <c r="K56" s="308"/>
      <c r="L56" s="201"/>
      <c r="M56" s="408"/>
      <c r="N56" s="285"/>
      <c r="O56" s="285"/>
      <c r="P56" s="285"/>
      <c r="Q56" s="285"/>
      <c r="R56" s="285"/>
      <c r="S56" s="285"/>
      <c r="T56" s="409">
        <f t="shared" si="15"/>
        <v>0</v>
      </c>
      <c r="U56" s="410">
        <f t="shared" si="16"/>
        <v>0</v>
      </c>
      <c r="V56" s="411">
        <f t="shared" si="17"/>
        <v>0</v>
      </c>
    </row>
    <row r="57" spans="1:26" s="1" customFormat="1" ht="16.5" x14ac:dyDescent="0.25">
      <c r="A57" s="454" t="s">
        <v>232</v>
      </c>
      <c r="B57" s="251" t="s">
        <v>56</v>
      </c>
      <c r="C57" s="166">
        <f>'RETRIBUCIONES 2025'!$D$4</f>
        <v>1002.94</v>
      </c>
      <c r="D57" s="166">
        <f t="shared" si="18"/>
        <v>12035.28</v>
      </c>
      <c r="E57" s="166">
        <f>'RETRIBUCIONES 2025'!E5</f>
        <v>31.53</v>
      </c>
      <c r="F57" s="177">
        <f t="shared" si="19"/>
        <v>378.36</v>
      </c>
      <c r="G57" s="165">
        <v>18</v>
      </c>
      <c r="H57" s="166">
        <f>'RETRIBUCIONES 2025'!$K$14</f>
        <v>472.37</v>
      </c>
      <c r="I57" s="308">
        <f t="shared" si="20"/>
        <v>5668.4400000000005</v>
      </c>
      <c r="J57" s="166">
        <v>1226.98</v>
      </c>
      <c r="K57" s="308">
        <f t="shared" si="21"/>
        <v>14723.76</v>
      </c>
      <c r="L57" s="201">
        <f t="shared" si="22"/>
        <v>2733.82</v>
      </c>
      <c r="M57" s="408">
        <f t="shared" si="23"/>
        <v>32805.840000000004</v>
      </c>
      <c r="N57" s="285">
        <f>'RETRIBUCIONES 2025'!$D$9</f>
        <v>866.84</v>
      </c>
      <c r="O57" s="285">
        <f>'RETRIBUCIONES 2025'!E10</f>
        <v>27.21</v>
      </c>
      <c r="P57" s="285">
        <f>SUM(N57:O57)</f>
        <v>894.05000000000007</v>
      </c>
      <c r="Q57" s="285">
        <f>H57</f>
        <v>472.37</v>
      </c>
      <c r="R57" s="285">
        <f>J57</f>
        <v>1226.98</v>
      </c>
      <c r="S57" s="285">
        <f>P57+Q57+R57</f>
        <v>2593.4</v>
      </c>
      <c r="T57" s="409">
        <f t="shared" si="15"/>
        <v>37992.640000000007</v>
      </c>
      <c r="U57" s="410">
        <f t="shared" si="16"/>
        <v>12537.571200000002</v>
      </c>
      <c r="V57" s="411">
        <f t="shared" si="17"/>
        <v>50530.211200000005</v>
      </c>
    </row>
    <row r="58" spans="1:26" s="1" customFormat="1" ht="16.5" x14ac:dyDescent="0.25">
      <c r="A58" s="454"/>
      <c r="B58" s="251"/>
      <c r="C58" s="166"/>
      <c r="D58" s="166"/>
      <c r="E58" s="166"/>
      <c r="F58" s="177"/>
      <c r="G58" s="165"/>
      <c r="H58" s="166"/>
      <c r="I58" s="308"/>
      <c r="J58" s="166"/>
      <c r="K58" s="308"/>
      <c r="L58" s="201"/>
      <c r="M58" s="408"/>
      <c r="N58" s="285"/>
      <c r="O58" s="285"/>
      <c r="P58" s="285"/>
      <c r="Q58" s="285"/>
      <c r="R58" s="285"/>
      <c r="S58" s="285"/>
      <c r="T58" s="409">
        <f t="shared" si="15"/>
        <v>0</v>
      </c>
      <c r="U58" s="410">
        <f t="shared" si="16"/>
        <v>0</v>
      </c>
      <c r="V58" s="411">
        <f t="shared" si="17"/>
        <v>0</v>
      </c>
    </row>
    <row r="59" spans="1:26" s="1" customFormat="1" ht="15" customHeight="1" x14ac:dyDescent="0.25">
      <c r="A59" s="454" t="s">
        <v>232</v>
      </c>
      <c r="B59" s="251" t="s">
        <v>56</v>
      </c>
      <c r="C59" s="166">
        <f>'RETRIBUCIONES 2025'!$D$4</f>
        <v>1002.94</v>
      </c>
      <c r="D59" s="166">
        <f t="shared" si="18"/>
        <v>12035.28</v>
      </c>
      <c r="E59" s="166">
        <f>('RETRIBUCIONES 2025'!$F$5*2)+('RETRIBUCIONES 2025'!$E$5*7)+('RETRIBUCIONES 2025'!$D$5*2)</f>
        <v>336.71</v>
      </c>
      <c r="F59" s="177">
        <f t="shared" si="19"/>
        <v>4040.5199999999995</v>
      </c>
      <c r="G59" s="165">
        <v>18</v>
      </c>
      <c r="H59" s="166">
        <f>'RETRIBUCIONES 2025'!$K$14</f>
        <v>472.37</v>
      </c>
      <c r="I59" s="308">
        <f t="shared" si="20"/>
        <v>5668.4400000000005</v>
      </c>
      <c r="J59" s="166">
        <v>1226.98</v>
      </c>
      <c r="K59" s="308">
        <f t="shared" si="21"/>
        <v>14723.76</v>
      </c>
      <c r="L59" s="201">
        <f t="shared" si="22"/>
        <v>3039</v>
      </c>
      <c r="M59" s="408">
        <f t="shared" si="23"/>
        <v>36468</v>
      </c>
      <c r="N59" s="285">
        <f>'RETRIBUCIONES 2025'!$D$9</f>
        <v>866.84</v>
      </c>
      <c r="O59" s="166">
        <f>('RETRIBUCIONES 2025'!$F$10*2)+('RETRIBUCIONES 2025'!$E$10*7)+('RETRIBUCIONES 2025'!$D$10*2)</f>
        <v>296.14999999999998</v>
      </c>
      <c r="P59" s="285">
        <f>SUM(N59:O59)</f>
        <v>1162.99</v>
      </c>
      <c r="Q59" s="285">
        <f>H59</f>
        <v>472.37</v>
      </c>
      <c r="R59" s="285">
        <f>J59</f>
        <v>1226.98</v>
      </c>
      <c r="S59" s="285">
        <f>P59+Q59+R59</f>
        <v>2862.34</v>
      </c>
      <c r="T59" s="409">
        <f t="shared" si="15"/>
        <v>42192.68</v>
      </c>
      <c r="U59" s="410">
        <f t="shared" si="16"/>
        <v>13923.584400000002</v>
      </c>
      <c r="V59" s="411">
        <f t="shared" si="17"/>
        <v>56116.2644</v>
      </c>
    </row>
    <row r="60" spans="1:26" s="1" customFormat="1" ht="16.5" x14ac:dyDescent="0.25">
      <c r="A60" s="454"/>
      <c r="B60" s="251"/>
      <c r="C60" s="166"/>
      <c r="D60" s="166"/>
      <c r="E60" s="166"/>
      <c r="F60" s="177"/>
      <c r="G60" s="165"/>
      <c r="H60" s="166"/>
      <c r="I60" s="308"/>
      <c r="J60" s="166"/>
      <c r="K60" s="308"/>
      <c r="L60" s="201"/>
      <c r="M60" s="408"/>
      <c r="N60" s="285"/>
      <c r="O60" s="285"/>
      <c r="P60" s="285"/>
      <c r="Q60" s="285"/>
      <c r="R60" s="285"/>
      <c r="S60" s="285"/>
      <c r="T60" s="409">
        <f t="shared" si="15"/>
        <v>0</v>
      </c>
      <c r="U60" s="410">
        <f t="shared" si="16"/>
        <v>0</v>
      </c>
      <c r="V60" s="411">
        <f t="shared" si="17"/>
        <v>0</v>
      </c>
    </row>
    <row r="61" spans="1:26" s="1" customFormat="1" ht="16.5" x14ac:dyDescent="0.25">
      <c r="A61" s="454" t="s">
        <v>232</v>
      </c>
      <c r="B61" s="251" t="s">
        <v>56</v>
      </c>
      <c r="C61" s="166">
        <f>'RETRIBUCIONES 2025'!$D$4</f>
        <v>1002.94</v>
      </c>
      <c r="D61" s="166">
        <f t="shared" si="18"/>
        <v>12035.28</v>
      </c>
      <c r="E61" s="166">
        <f>'RETRIBUCIONES 2025'!$E$5*8</f>
        <v>252.24</v>
      </c>
      <c r="F61" s="177">
        <f t="shared" si="19"/>
        <v>3026.88</v>
      </c>
      <c r="G61" s="165" t="s">
        <v>97</v>
      </c>
      <c r="H61" s="166">
        <f>'RETRIBUCIONES 2025'!$M$14</f>
        <v>526.09</v>
      </c>
      <c r="I61" s="308">
        <f t="shared" si="20"/>
        <v>6313.08</v>
      </c>
      <c r="J61" s="166">
        <v>1226.98</v>
      </c>
      <c r="K61" s="308">
        <f t="shared" si="21"/>
        <v>14723.76</v>
      </c>
      <c r="L61" s="201">
        <f t="shared" si="22"/>
        <v>3008.25</v>
      </c>
      <c r="M61" s="408">
        <f t="shared" si="23"/>
        <v>36099</v>
      </c>
      <c r="N61" s="285">
        <f>'RETRIBUCIONES 2025'!$D$9</f>
        <v>866.84</v>
      </c>
      <c r="O61" s="166">
        <f>'RETRIBUCIONES 2025'!$E$10*8</f>
        <v>217.68</v>
      </c>
      <c r="P61" s="285">
        <f>SUM(N61:O61)</f>
        <v>1084.52</v>
      </c>
      <c r="Q61" s="285">
        <f>H61</f>
        <v>526.09</v>
      </c>
      <c r="R61" s="285">
        <f>J61</f>
        <v>1226.98</v>
      </c>
      <c r="S61" s="285">
        <f>P61+Q61+R61</f>
        <v>2837.59</v>
      </c>
      <c r="T61" s="409">
        <f t="shared" si="15"/>
        <v>41774.18</v>
      </c>
      <c r="U61" s="410">
        <f t="shared" si="16"/>
        <v>13785.4794</v>
      </c>
      <c r="V61" s="411">
        <f t="shared" si="17"/>
        <v>55559.659400000004</v>
      </c>
    </row>
    <row r="62" spans="1:26" s="1" customFormat="1" ht="16.5" x14ac:dyDescent="0.25">
      <c r="A62" s="454"/>
      <c r="B62" s="251"/>
      <c r="C62" s="166"/>
      <c r="D62" s="166"/>
      <c r="E62" s="166"/>
      <c r="F62" s="177"/>
      <c r="G62" s="165"/>
      <c r="H62" s="166"/>
      <c r="I62" s="308"/>
      <c r="J62" s="166"/>
      <c r="K62" s="308"/>
      <c r="L62" s="201"/>
      <c r="M62" s="408"/>
      <c r="N62" s="285"/>
      <c r="O62" s="285"/>
      <c r="P62" s="285"/>
      <c r="Q62" s="285"/>
      <c r="R62" s="285"/>
      <c r="S62" s="285"/>
      <c r="T62" s="409">
        <f t="shared" si="15"/>
        <v>0</v>
      </c>
      <c r="U62" s="410">
        <f t="shared" si="16"/>
        <v>0</v>
      </c>
      <c r="V62" s="411">
        <f t="shared" si="17"/>
        <v>0</v>
      </c>
    </row>
    <row r="63" spans="1:26" s="1" customFormat="1" ht="16.5" x14ac:dyDescent="0.25">
      <c r="A63" s="454" t="s">
        <v>232</v>
      </c>
      <c r="B63" s="251" t="s">
        <v>56</v>
      </c>
      <c r="C63" s="166">
        <f>'RETRIBUCIONES 2025'!$D$4</f>
        <v>1002.94</v>
      </c>
      <c r="D63" s="166">
        <f t="shared" si="18"/>
        <v>12035.28</v>
      </c>
      <c r="E63" s="166">
        <f>('RETRIBUCIONES 2025'!$F$5*1)+('RETRIBUCIONES 2025'!$E$5*7)+'RETRIBUCIONES 2025'!$D$5*2</f>
        <v>315.25</v>
      </c>
      <c r="F63" s="177">
        <f t="shared" si="19"/>
        <v>3783</v>
      </c>
      <c r="G63" s="165" t="s">
        <v>51</v>
      </c>
      <c r="H63" s="166">
        <f>'RETRIBUCIONES 2025'!$K$14</f>
        <v>472.37</v>
      </c>
      <c r="I63" s="308">
        <f t="shared" si="20"/>
        <v>5668.4400000000005</v>
      </c>
      <c r="J63" s="166">
        <v>1226.98</v>
      </c>
      <c r="K63" s="308">
        <f t="shared" si="21"/>
        <v>14723.76</v>
      </c>
      <c r="L63" s="201">
        <f t="shared" si="22"/>
        <v>3017.54</v>
      </c>
      <c r="M63" s="408">
        <f t="shared" si="23"/>
        <v>36210.480000000003</v>
      </c>
      <c r="N63" s="285">
        <f>'RETRIBUCIONES 2025'!$D$9</f>
        <v>866.84</v>
      </c>
      <c r="O63" s="166">
        <f>('RETRIBUCIONES 2025'!$F$10*1)+('RETRIBUCIONES 2025'!$E$10*7)+'RETRIBUCIONES 2025'!$D$10*2</f>
        <v>274.91000000000003</v>
      </c>
      <c r="P63" s="285">
        <f>SUM(N63:O63)</f>
        <v>1141.75</v>
      </c>
      <c r="Q63" s="285">
        <f>H63</f>
        <v>472.37</v>
      </c>
      <c r="R63" s="285">
        <f>J63</f>
        <v>1226.98</v>
      </c>
      <c r="S63" s="285">
        <f>P63+Q63+R63</f>
        <v>2841.1</v>
      </c>
      <c r="T63" s="409">
        <f t="shared" si="15"/>
        <v>41892.68</v>
      </c>
      <c r="U63" s="410">
        <f t="shared" si="16"/>
        <v>13824.584400000002</v>
      </c>
      <c r="V63" s="411">
        <f t="shared" si="17"/>
        <v>55717.2644</v>
      </c>
    </row>
    <row r="64" spans="1:26" s="1" customFormat="1" ht="16.5" x14ac:dyDescent="0.25">
      <c r="A64" s="454"/>
      <c r="B64" s="251"/>
      <c r="C64" s="166"/>
      <c r="D64" s="166"/>
      <c r="E64" s="166"/>
      <c r="F64" s="177"/>
      <c r="G64" s="165"/>
      <c r="H64" s="166"/>
      <c r="I64" s="308"/>
      <c r="J64" s="166"/>
      <c r="K64" s="308"/>
      <c r="L64" s="201"/>
      <c r="M64" s="408"/>
      <c r="N64" s="285"/>
      <c r="O64" s="285"/>
      <c r="P64" s="285"/>
      <c r="Q64" s="285"/>
      <c r="R64" s="285"/>
      <c r="S64" s="285"/>
      <c r="T64" s="409">
        <f t="shared" si="15"/>
        <v>0</v>
      </c>
      <c r="U64" s="410">
        <f t="shared" si="16"/>
        <v>0</v>
      </c>
      <c r="V64" s="411">
        <f t="shared" si="17"/>
        <v>0</v>
      </c>
    </row>
    <row r="65" spans="1:22" s="1" customFormat="1" ht="16.5" x14ac:dyDescent="0.25">
      <c r="A65" s="454" t="s">
        <v>232</v>
      </c>
      <c r="B65" s="251" t="s">
        <v>56</v>
      </c>
      <c r="C65" s="166">
        <f>'RETRIBUCIONES 2025'!$D$4</f>
        <v>1002.94</v>
      </c>
      <c r="D65" s="166">
        <f t="shared" si="18"/>
        <v>12035.28</v>
      </c>
      <c r="E65" s="166">
        <v>0</v>
      </c>
      <c r="F65" s="177">
        <f t="shared" si="19"/>
        <v>0</v>
      </c>
      <c r="G65" s="165" t="s">
        <v>51</v>
      </c>
      <c r="H65" s="166">
        <f>'RETRIBUCIONES 2025'!$K$14</f>
        <v>472.37</v>
      </c>
      <c r="I65" s="308">
        <f t="shared" si="20"/>
        <v>5668.4400000000005</v>
      </c>
      <c r="J65" s="166">
        <v>1226.98</v>
      </c>
      <c r="K65" s="308">
        <f t="shared" si="21"/>
        <v>14723.76</v>
      </c>
      <c r="L65" s="201">
        <f t="shared" si="22"/>
        <v>2702.29</v>
      </c>
      <c r="M65" s="408">
        <f t="shared" si="23"/>
        <v>32427.480000000003</v>
      </c>
      <c r="N65" s="285">
        <f>'RETRIBUCIONES 2025'!$D$9</f>
        <v>866.84</v>
      </c>
      <c r="O65" s="285">
        <v>0</v>
      </c>
      <c r="P65" s="285">
        <f>SUM(N65:O65)</f>
        <v>866.84</v>
      </c>
      <c r="Q65" s="285">
        <f>H65</f>
        <v>472.37</v>
      </c>
      <c r="R65" s="285">
        <f>J65</f>
        <v>1226.98</v>
      </c>
      <c r="S65" s="285">
        <f>P65+Q65+R65</f>
        <v>2566.19</v>
      </c>
      <c r="T65" s="409">
        <f t="shared" si="15"/>
        <v>37559.86</v>
      </c>
      <c r="U65" s="410">
        <f t="shared" si="16"/>
        <v>12394.7538</v>
      </c>
      <c r="V65" s="411">
        <f t="shared" si="17"/>
        <v>49954.613799999999</v>
      </c>
    </row>
    <row r="66" spans="1:22" s="1" customFormat="1" ht="16.5" x14ac:dyDescent="0.25">
      <c r="A66" s="454"/>
      <c r="B66" s="251"/>
      <c r="C66" s="166"/>
      <c r="D66" s="166"/>
      <c r="E66" s="166"/>
      <c r="F66" s="177"/>
      <c r="G66" s="165"/>
      <c r="H66" s="166"/>
      <c r="I66" s="308"/>
      <c r="J66" s="166"/>
      <c r="K66" s="308"/>
      <c r="L66" s="201"/>
      <c r="M66" s="408"/>
      <c r="N66" s="285"/>
      <c r="O66" s="285"/>
      <c r="P66" s="285"/>
      <c r="Q66" s="285"/>
      <c r="R66" s="285"/>
      <c r="S66" s="285"/>
      <c r="T66" s="409">
        <f t="shared" si="15"/>
        <v>0</v>
      </c>
      <c r="U66" s="410">
        <f t="shared" si="16"/>
        <v>0</v>
      </c>
      <c r="V66" s="411">
        <f t="shared" si="17"/>
        <v>0</v>
      </c>
    </row>
    <row r="67" spans="1:22" s="1" customFormat="1" ht="16.5" x14ac:dyDescent="0.25">
      <c r="A67" s="454" t="s">
        <v>232</v>
      </c>
      <c r="B67" s="251" t="s">
        <v>56</v>
      </c>
      <c r="C67" s="166">
        <f>'RETRIBUCIONES 2025'!$D$4</f>
        <v>1002.94</v>
      </c>
      <c r="D67" s="166">
        <f t="shared" si="18"/>
        <v>12035.28</v>
      </c>
      <c r="E67" s="166">
        <v>0</v>
      </c>
      <c r="F67" s="177">
        <f t="shared" si="19"/>
        <v>0</v>
      </c>
      <c r="G67" s="165" t="s">
        <v>51</v>
      </c>
      <c r="H67" s="166">
        <f>'RETRIBUCIONES 2025'!$K$14</f>
        <v>472.37</v>
      </c>
      <c r="I67" s="308">
        <f t="shared" si="20"/>
        <v>5668.4400000000005</v>
      </c>
      <c r="J67" s="166">
        <v>1226.98</v>
      </c>
      <c r="K67" s="308">
        <f t="shared" si="21"/>
        <v>14723.76</v>
      </c>
      <c r="L67" s="201">
        <f t="shared" si="22"/>
        <v>2702.29</v>
      </c>
      <c r="M67" s="408">
        <f t="shared" si="23"/>
        <v>32427.480000000003</v>
      </c>
      <c r="N67" s="285">
        <f>'RETRIBUCIONES 2025'!$D$9</f>
        <v>866.84</v>
      </c>
      <c r="O67" s="166">
        <v>0</v>
      </c>
      <c r="P67" s="285">
        <f>SUM(N67:O67)</f>
        <v>866.84</v>
      </c>
      <c r="Q67" s="285">
        <f>H67</f>
        <v>472.37</v>
      </c>
      <c r="R67" s="285">
        <f>J67</f>
        <v>1226.98</v>
      </c>
      <c r="S67" s="285">
        <f>P67+Q67+R67</f>
        <v>2566.19</v>
      </c>
      <c r="T67" s="409">
        <f t="shared" si="15"/>
        <v>37559.86</v>
      </c>
      <c r="U67" s="410">
        <f t="shared" si="16"/>
        <v>12394.7538</v>
      </c>
      <c r="V67" s="411">
        <f t="shared" si="17"/>
        <v>49954.613799999999</v>
      </c>
    </row>
    <row r="68" spans="1:22" s="1" customFormat="1" ht="15" customHeight="1" x14ac:dyDescent="0.25">
      <c r="A68" s="454"/>
      <c r="B68" s="251"/>
      <c r="C68" s="166"/>
      <c r="D68" s="166"/>
      <c r="E68" s="166"/>
      <c r="F68" s="177"/>
      <c r="G68" s="165"/>
      <c r="H68" s="166"/>
      <c r="I68" s="308"/>
      <c r="J68" s="166"/>
      <c r="K68" s="308"/>
      <c r="L68" s="201"/>
      <c r="M68" s="408"/>
      <c r="N68" s="285"/>
      <c r="O68" s="285"/>
      <c r="P68" s="285"/>
      <c r="Q68" s="285"/>
      <c r="R68" s="285"/>
      <c r="S68" s="285"/>
      <c r="T68" s="409">
        <f t="shared" si="15"/>
        <v>0</v>
      </c>
      <c r="U68" s="410">
        <f t="shared" si="16"/>
        <v>0</v>
      </c>
      <c r="V68" s="411">
        <f t="shared" si="17"/>
        <v>0</v>
      </c>
    </row>
    <row r="69" spans="1:22" s="1" customFormat="1" ht="15" customHeight="1" x14ac:dyDescent="0.25">
      <c r="A69" s="455" t="s">
        <v>57</v>
      </c>
      <c r="B69" s="254"/>
      <c r="C69" s="183">
        <f>SUM(C57:C67)</f>
        <v>6017.6400000000012</v>
      </c>
      <c r="D69" s="184">
        <f t="shared" si="18"/>
        <v>72211.680000000022</v>
      </c>
      <c r="E69" s="183">
        <f>SUM(E57:E67)</f>
        <v>935.73</v>
      </c>
      <c r="F69" s="185">
        <f t="shared" si="19"/>
        <v>11228.76</v>
      </c>
      <c r="G69" s="203"/>
      <c r="H69" s="183">
        <f>SUM(H57:H67)</f>
        <v>2887.9399999999996</v>
      </c>
      <c r="I69" s="412">
        <f t="shared" si="20"/>
        <v>34655.279999999999</v>
      </c>
      <c r="J69" s="183">
        <f>SUM(J57:J67)</f>
        <v>7361.8799999999992</v>
      </c>
      <c r="K69" s="412">
        <f t="shared" si="21"/>
        <v>88342.56</v>
      </c>
      <c r="L69" s="204">
        <f t="shared" si="22"/>
        <v>17203.190000000002</v>
      </c>
      <c r="M69" s="393">
        <f t="shared" si="23"/>
        <v>206438.28000000003</v>
      </c>
      <c r="N69" s="395">
        <f t="shared" ref="N69:O69" si="25">SUM(N57:N67)</f>
        <v>5201.04</v>
      </c>
      <c r="O69" s="395">
        <f t="shared" si="25"/>
        <v>815.95</v>
      </c>
      <c r="P69" s="395">
        <f>SUM(N69:O69)</f>
        <v>6016.99</v>
      </c>
      <c r="Q69" s="392">
        <f>H69</f>
        <v>2887.9399999999996</v>
      </c>
      <c r="R69" s="392">
        <f>J69</f>
        <v>7361.8799999999992</v>
      </c>
      <c r="S69" s="392">
        <f>P69+Q69+R69</f>
        <v>16266.81</v>
      </c>
      <c r="T69" s="413">
        <f t="shared" si="15"/>
        <v>238971.90000000002</v>
      </c>
      <c r="U69" s="414">
        <f t="shared" si="16"/>
        <v>78860.727000000014</v>
      </c>
      <c r="V69" s="415">
        <f t="shared" si="17"/>
        <v>317832.62700000004</v>
      </c>
    </row>
    <row r="70" spans="1:22" s="1" customFormat="1" ht="15" customHeight="1" x14ac:dyDescent="0.25">
      <c r="A70" s="454"/>
      <c r="B70" s="251"/>
      <c r="C70" s="166"/>
      <c r="D70" s="166"/>
      <c r="E70" s="166"/>
      <c r="F70" s="177"/>
      <c r="G70" s="165"/>
      <c r="H70" s="166"/>
      <c r="I70" s="308"/>
      <c r="J70" s="166"/>
      <c r="K70" s="308"/>
      <c r="L70" s="201"/>
      <c r="M70" s="408"/>
      <c r="N70" s="285"/>
      <c r="O70" s="285"/>
      <c r="P70" s="285"/>
      <c r="Q70" s="285"/>
      <c r="R70" s="285"/>
      <c r="S70" s="285"/>
      <c r="T70" s="409">
        <f t="shared" si="15"/>
        <v>0</v>
      </c>
      <c r="U70" s="410">
        <f t="shared" si="16"/>
        <v>0</v>
      </c>
      <c r="V70" s="411">
        <f t="shared" si="17"/>
        <v>0</v>
      </c>
    </row>
    <row r="71" spans="1:22" s="1" customFormat="1" ht="15" customHeight="1" x14ac:dyDescent="0.25">
      <c r="A71" s="454" t="s">
        <v>233</v>
      </c>
      <c r="B71" s="251" t="s">
        <v>15</v>
      </c>
      <c r="C71" s="166">
        <f>'RETRIBUCIONES 2025'!$E$4</f>
        <v>861.46</v>
      </c>
      <c r="D71" s="166">
        <f t="shared" si="18"/>
        <v>10337.52</v>
      </c>
      <c r="E71" s="166">
        <f>('RETRIBUCIONES 2025'!$F$5*3)+('RETRIBUCIONES 2025'!$E$5*9)</f>
        <v>348.15</v>
      </c>
      <c r="F71" s="177">
        <f t="shared" si="19"/>
        <v>4177.7999999999993</v>
      </c>
      <c r="G71" s="165" t="s">
        <v>58</v>
      </c>
      <c r="H71" s="166">
        <f>'RETRIBUCIONES 2025'!$J$14</f>
        <v>445.5</v>
      </c>
      <c r="I71" s="308">
        <f t="shared" si="20"/>
        <v>5346</v>
      </c>
      <c r="J71" s="166">
        <v>1018.7</v>
      </c>
      <c r="K71" s="308">
        <f t="shared" si="21"/>
        <v>12224.400000000001</v>
      </c>
      <c r="L71" s="201">
        <f t="shared" si="22"/>
        <v>2673.8100000000004</v>
      </c>
      <c r="M71" s="408">
        <f t="shared" si="23"/>
        <v>32085.72</v>
      </c>
      <c r="N71" s="285">
        <f>'RETRIBUCIONES 2025'!$E$9</f>
        <v>744.56</v>
      </c>
      <c r="O71" s="166">
        <f>('RETRIBUCIONES 2025'!$F$10*3)+('RETRIBUCIONES 2025'!$E$10*9)</f>
        <v>308.61</v>
      </c>
      <c r="P71" s="285">
        <f>SUM(N71:O71)</f>
        <v>1053.17</v>
      </c>
      <c r="Q71" s="285">
        <f>H71</f>
        <v>445.5</v>
      </c>
      <c r="R71" s="285">
        <f>J71</f>
        <v>1018.7</v>
      </c>
      <c r="S71" s="285">
        <f>P71+Q71+R71</f>
        <v>2517.37</v>
      </c>
      <c r="T71" s="409">
        <f t="shared" si="15"/>
        <v>37120.46</v>
      </c>
      <c r="U71" s="410">
        <f t="shared" si="16"/>
        <v>12249.7518</v>
      </c>
      <c r="V71" s="411">
        <f t="shared" si="17"/>
        <v>49370.211799999997</v>
      </c>
    </row>
    <row r="72" spans="1:22" s="1" customFormat="1" ht="15" customHeight="1" x14ac:dyDescent="0.25">
      <c r="A72" s="454"/>
      <c r="B72" s="251"/>
      <c r="C72" s="166"/>
      <c r="D72" s="166"/>
      <c r="E72" s="166"/>
      <c r="F72" s="177"/>
      <c r="G72" s="165"/>
      <c r="H72" s="166"/>
      <c r="I72" s="308"/>
      <c r="J72" s="166"/>
      <c r="K72" s="308"/>
      <c r="L72" s="201"/>
      <c r="M72" s="408"/>
      <c r="N72" s="285"/>
      <c r="O72" s="285"/>
      <c r="P72" s="285"/>
      <c r="Q72" s="285"/>
      <c r="R72" s="285"/>
      <c r="S72" s="285"/>
      <c r="T72" s="409">
        <f t="shared" si="15"/>
        <v>0</v>
      </c>
      <c r="U72" s="410">
        <f t="shared" si="16"/>
        <v>0</v>
      </c>
      <c r="V72" s="411">
        <f t="shared" si="17"/>
        <v>0</v>
      </c>
    </row>
    <row r="73" spans="1:22" s="1" customFormat="1" ht="15" customHeight="1" x14ac:dyDescent="0.25">
      <c r="A73" s="454" t="s">
        <v>233</v>
      </c>
      <c r="B73" s="251" t="s">
        <v>15</v>
      </c>
      <c r="C73" s="166">
        <f>'RETRIBUCIONES 2025'!$E$4</f>
        <v>861.46</v>
      </c>
      <c r="D73" s="166">
        <f t="shared" si="18"/>
        <v>10337.52</v>
      </c>
      <c r="E73" s="166">
        <f>'RETRIBUCIONES 2025'!$E$5*8</f>
        <v>252.24</v>
      </c>
      <c r="F73" s="177">
        <f t="shared" si="19"/>
        <v>3026.88</v>
      </c>
      <c r="G73" s="165" t="s">
        <v>58</v>
      </c>
      <c r="H73" s="166">
        <f>'RETRIBUCIONES 2025'!$J$14</f>
        <v>445.5</v>
      </c>
      <c r="I73" s="308">
        <f t="shared" si="20"/>
        <v>5346</v>
      </c>
      <c r="J73" s="166">
        <v>1018.7</v>
      </c>
      <c r="K73" s="308">
        <f t="shared" si="21"/>
        <v>12224.400000000001</v>
      </c>
      <c r="L73" s="201">
        <f t="shared" si="22"/>
        <v>2577.9</v>
      </c>
      <c r="M73" s="408">
        <f t="shared" si="23"/>
        <v>30934.800000000003</v>
      </c>
      <c r="N73" s="285">
        <f>'RETRIBUCIONES 2025'!$E$9</f>
        <v>744.56</v>
      </c>
      <c r="O73" s="166">
        <f>'RETRIBUCIONES 2025'!$E$10*8</f>
        <v>217.68</v>
      </c>
      <c r="P73" s="285">
        <f>SUM(N73:O73)</f>
        <v>962.24</v>
      </c>
      <c r="Q73" s="285">
        <f>H73</f>
        <v>445.5</v>
      </c>
      <c r="R73" s="285">
        <f>J73</f>
        <v>1018.7</v>
      </c>
      <c r="S73" s="285">
        <f>P73+Q73+R73</f>
        <v>2426.44</v>
      </c>
      <c r="T73" s="409">
        <f t="shared" si="15"/>
        <v>35787.68</v>
      </c>
      <c r="U73" s="410">
        <f t="shared" si="16"/>
        <v>11809.9344</v>
      </c>
      <c r="V73" s="411">
        <f t="shared" si="17"/>
        <v>47597.614399999999</v>
      </c>
    </row>
    <row r="74" spans="1:22" s="1" customFormat="1" ht="16.5" x14ac:dyDescent="0.25">
      <c r="A74" s="454"/>
      <c r="B74" s="251"/>
      <c r="C74" s="166"/>
      <c r="D74" s="166"/>
      <c r="E74" s="166"/>
      <c r="F74" s="177"/>
      <c r="G74" s="165"/>
      <c r="H74" s="166"/>
      <c r="I74" s="308"/>
      <c r="J74" s="166"/>
      <c r="K74" s="308"/>
      <c r="L74" s="201"/>
      <c r="M74" s="408"/>
      <c r="N74" s="285"/>
      <c r="O74" s="285"/>
      <c r="P74" s="285"/>
      <c r="Q74" s="285"/>
      <c r="R74" s="285"/>
      <c r="S74" s="285"/>
      <c r="T74" s="409">
        <f t="shared" si="15"/>
        <v>0</v>
      </c>
      <c r="U74" s="410">
        <f t="shared" si="16"/>
        <v>0</v>
      </c>
      <c r="V74" s="411">
        <f t="shared" si="17"/>
        <v>0</v>
      </c>
    </row>
    <row r="75" spans="1:22" s="1" customFormat="1" ht="16.5" x14ac:dyDescent="0.25">
      <c r="A75" s="454" t="s">
        <v>233</v>
      </c>
      <c r="B75" s="251" t="s">
        <v>15</v>
      </c>
      <c r="C75" s="166">
        <f>'RETRIBUCIONES 2025'!$E$4</f>
        <v>861.46</v>
      </c>
      <c r="D75" s="166">
        <f t="shared" si="18"/>
        <v>10337.52</v>
      </c>
      <c r="E75" s="166">
        <f>'RETRIBUCIONES 2025'!$E$5*1</f>
        <v>31.53</v>
      </c>
      <c r="F75" s="177">
        <f t="shared" si="19"/>
        <v>378.36</v>
      </c>
      <c r="G75" s="165" t="s">
        <v>58</v>
      </c>
      <c r="H75" s="166">
        <f>'RETRIBUCIONES 2025'!$J$14</f>
        <v>445.5</v>
      </c>
      <c r="I75" s="308">
        <f t="shared" si="20"/>
        <v>5346</v>
      </c>
      <c r="J75" s="166">
        <v>1018.7</v>
      </c>
      <c r="K75" s="308">
        <f t="shared" si="21"/>
        <v>12224.400000000001</v>
      </c>
      <c r="L75" s="201">
        <f t="shared" si="22"/>
        <v>2357.19</v>
      </c>
      <c r="M75" s="408">
        <f t="shared" si="23"/>
        <v>28286.280000000002</v>
      </c>
      <c r="N75" s="285">
        <f>'RETRIBUCIONES 2025'!$E$9</f>
        <v>744.56</v>
      </c>
      <c r="O75" s="166">
        <f>'RETRIBUCIONES 2025'!$E$10*1</f>
        <v>27.21</v>
      </c>
      <c r="P75" s="285">
        <f>SUM(N75:O75)</f>
        <v>771.77</v>
      </c>
      <c r="Q75" s="285">
        <f>H75</f>
        <v>445.5</v>
      </c>
      <c r="R75" s="285">
        <f>J75</f>
        <v>1018.7</v>
      </c>
      <c r="S75" s="285">
        <f>P75+Q75+R75</f>
        <v>2235.9700000000003</v>
      </c>
      <c r="T75" s="409">
        <f t="shared" si="15"/>
        <v>32758.22</v>
      </c>
      <c r="U75" s="410">
        <f t="shared" si="16"/>
        <v>10810.212600000001</v>
      </c>
      <c r="V75" s="411">
        <f t="shared" si="17"/>
        <v>43568.4326</v>
      </c>
    </row>
    <row r="76" spans="1:22" s="1" customFormat="1" ht="16.5" x14ac:dyDescent="0.25">
      <c r="A76" s="454"/>
      <c r="B76" s="251"/>
      <c r="C76" s="166"/>
      <c r="D76" s="166"/>
      <c r="E76" s="166"/>
      <c r="F76" s="177"/>
      <c r="G76" s="165"/>
      <c r="H76" s="166"/>
      <c r="I76" s="308"/>
      <c r="J76" s="166"/>
      <c r="K76" s="308"/>
      <c r="L76" s="201"/>
      <c r="M76" s="408"/>
      <c r="N76" s="285"/>
      <c r="O76" s="285"/>
      <c r="P76" s="285"/>
      <c r="Q76" s="285"/>
      <c r="R76" s="285"/>
      <c r="S76" s="285"/>
      <c r="T76" s="409">
        <f t="shared" si="15"/>
        <v>0</v>
      </c>
      <c r="U76" s="410">
        <f t="shared" si="16"/>
        <v>0</v>
      </c>
      <c r="V76" s="411">
        <f t="shared" si="17"/>
        <v>0</v>
      </c>
    </row>
    <row r="77" spans="1:22" s="1" customFormat="1" ht="16.5" x14ac:dyDescent="0.25">
      <c r="A77" s="454" t="s">
        <v>233</v>
      </c>
      <c r="B77" s="251" t="s">
        <v>15</v>
      </c>
      <c r="C77" s="166">
        <f>'RETRIBUCIONES 2025'!$E$4</f>
        <v>861.46</v>
      </c>
      <c r="D77" s="166">
        <f t="shared" si="18"/>
        <v>10337.52</v>
      </c>
      <c r="E77" s="166">
        <f>'RETRIBUCIONES 2025'!$E$5*9</f>
        <v>283.77</v>
      </c>
      <c r="F77" s="177">
        <f t="shared" si="19"/>
        <v>3405.24</v>
      </c>
      <c r="G77" s="165" t="s">
        <v>97</v>
      </c>
      <c r="H77" s="166">
        <f>'RETRIBUCIONES 2025'!M14</f>
        <v>526.09</v>
      </c>
      <c r="I77" s="308">
        <f t="shared" si="20"/>
        <v>6313.08</v>
      </c>
      <c r="J77" s="166">
        <v>1018.7</v>
      </c>
      <c r="K77" s="308">
        <f t="shared" si="21"/>
        <v>12224.400000000001</v>
      </c>
      <c r="L77" s="201">
        <f t="shared" si="22"/>
        <v>2690.0200000000004</v>
      </c>
      <c r="M77" s="408">
        <f t="shared" si="23"/>
        <v>32280.240000000002</v>
      </c>
      <c r="N77" s="285">
        <f>'RETRIBUCIONES 2025'!$E$9</f>
        <v>744.56</v>
      </c>
      <c r="O77" s="166">
        <f>'RETRIBUCIONES 2025'!$E$10*9</f>
        <v>244.89000000000001</v>
      </c>
      <c r="P77" s="285">
        <f>SUM(N77:O77)</f>
        <v>989.44999999999993</v>
      </c>
      <c r="Q77" s="285">
        <f>H77</f>
        <v>526.09</v>
      </c>
      <c r="R77" s="285">
        <f>J77</f>
        <v>1018.7</v>
      </c>
      <c r="S77" s="285">
        <f>P77+Q77+R77</f>
        <v>2534.2399999999998</v>
      </c>
      <c r="T77" s="409">
        <f t="shared" si="15"/>
        <v>37348.720000000001</v>
      </c>
      <c r="U77" s="410">
        <f t="shared" si="16"/>
        <v>12325.077600000001</v>
      </c>
      <c r="V77" s="411">
        <f t="shared" si="17"/>
        <v>49673.797600000005</v>
      </c>
    </row>
    <row r="78" spans="1:22" s="1" customFormat="1" ht="16.5" x14ac:dyDescent="0.25">
      <c r="A78" s="454"/>
      <c r="B78" s="251"/>
      <c r="C78" s="166"/>
      <c r="D78" s="166"/>
      <c r="E78" s="166"/>
      <c r="F78" s="177"/>
      <c r="G78" s="165"/>
      <c r="H78" s="166"/>
      <c r="I78" s="308"/>
      <c r="J78" s="166"/>
      <c r="K78" s="308"/>
      <c r="L78" s="201"/>
      <c r="M78" s="408"/>
      <c r="N78" s="285"/>
      <c r="O78" s="285"/>
      <c r="P78" s="285"/>
      <c r="Q78" s="285"/>
      <c r="R78" s="285"/>
      <c r="S78" s="285"/>
      <c r="T78" s="409">
        <f t="shared" si="15"/>
        <v>0</v>
      </c>
      <c r="U78" s="410">
        <f t="shared" si="16"/>
        <v>0</v>
      </c>
      <c r="V78" s="411">
        <f t="shared" si="17"/>
        <v>0</v>
      </c>
    </row>
    <row r="79" spans="1:22" s="1" customFormat="1" ht="16.5" x14ac:dyDescent="0.25">
      <c r="A79" s="454" t="s">
        <v>233</v>
      </c>
      <c r="B79" s="251" t="s">
        <v>15</v>
      </c>
      <c r="C79" s="166">
        <f>'RETRIBUCIONES 2025'!$E$4</f>
        <v>861.46</v>
      </c>
      <c r="D79" s="166">
        <f t="shared" si="18"/>
        <v>10337.52</v>
      </c>
      <c r="E79" s="166">
        <v>0</v>
      </c>
      <c r="F79" s="177">
        <f t="shared" si="19"/>
        <v>0</v>
      </c>
      <c r="G79" s="165" t="s">
        <v>58</v>
      </c>
      <c r="H79" s="166">
        <f>'RETRIBUCIONES 2025'!$J$14</f>
        <v>445.5</v>
      </c>
      <c r="I79" s="308">
        <f t="shared" si="20"/>
        <v>5346</v>
      </c>
      <c r="J79" s="166">
        <v>1018.7</v>
      </c>
      <c r="K79" s="308">
        <f t="shared" si="21"/>
        <v>12224.400000000001</v>
      </c>
      <c r="L79" s="201">
        <f t="shared" si="22"/>
        <v>2325.66</v>
      </c>
      <c r="M79" s="408">
        <f t="shared" si="23"/>
        <v>27907.920000000002</v>
      </c>
      <c r="N79" s="285">
        <f>'RETRIBUCIONES 2025'!$E$9</f>
        <v>744.56</v>
      </c>
      <c r="O79" s="166">
        <v>0</v>
      </c>
      <c r="P79" s="285">
        <f>SUM(N79:O79)</f>
        <v>744.56</v>
      </c>
      <c r="Q79" s="285">
        <f>H79</f>
        <v>445.5</v>
      </c>
      <c r="R79" s="285">
        <f>J79</f>
        <v>1018.7</v>
      </c>
      <c r="S79" s="285">
        <f>P79+Q79+R79</f>
        <v>2208.7600000000002</v>
      </c>
      <c r="T79" s="409">
        <f t="shared" si="15"/>
        <v>32325.440000000002</v>
      </c>
      <c r="U79" s="410">
        <f t="shared" si="16"/>
        <v>10667.395200000001</v>
      </c>
      <c r="V79" s="411">
        <f t="shared" si="17"/>
        <v>42992.835200000001</v>
      </c>
    </row>
    <row r="80" spans="1:22" s="1" customFormat="1" ht="16.5" x14ac:dyDescent="0.25">
      <c r="A80" s="454"/>
      <c r="B80" s="251"/>
      <c r="C80" s="166"/>
      <c r="D80" s="166"/>
      <c r="E80" s="166"/>
      <c r="F80" s="177"/>
      <c r="G80" s="165"/>
      <c r="H80" s="166"/>
      <c r="I80" s="308"/>
      <c r="J80" s="166"/>
      <c r="K80" s="308"/>
      <c r="L80" s="201"/>
      <c r="M80" s="408"/>
      <c r="N80" s="285"/>
      <c r="O80" s="285"/>
      <c r="P80" s="285"/>
      <c r="Q80" s="285"/>
      <c r="R80" s="285"/>
      <c r="S80" s="285"/>
      <c r="T80" s="409">
        <f t="shared" si="15"/>
        <v>0</v>
      </c>
      <c r="U80" s="410">
        <f t="shared" si="16"/>
        <v>0</v>
      </c>
      <c r="V80" s="411">
        <f t="shared" si="17"/>
        <v>0</v>
      </c>
    </row>
    <row r="81" spans="1:22" s="1" customFormat="1" ht="16.5" x14ac:dyDescent="0.25">
      <c r="A81" s="454" t="s">
        <v>233</v>
      </c>
      <c r="B81" s="251" t="s">
        <v>15</v>
      </c>
      <c r="C81" s="166">
        <f>'RETRIBUCIONES 2025'!$E$4</f>
        <v>861.46</v>
      </c>
      <c r="D81" s="166">
        <f t="shared" si="18"/>
        <v>10337.52</v>
      </c>
      <c r="E81" s="166">
        <f>'RETRIBUCIONES 2025'!$E$5*4</f>
        <v>126.12</v>
      </c>
      <c r="F81" s="177">
        <f t="shared" si="19"/>
        <v>1513.44</v>
      </c>
      <c r="G81" s="165" t="s">
        <v>58</v>
      </c>
      <c r="H81" s="166">
        <f>'RETRIBUCIONES 2025'!$J$14</f>
        <v>445.5</v>
      </c>
      <c r="I81" s="308">
        <f t="shared" si="20"/>
        <v>5346</v>
      </c>
      <c r="J81" s="166">
        <v>1018.7</v>
      </c>
      <c r="K81" s="308">
        <f t="shared" si="21"/>
        <v>12224.400000000001</v>
      </c>
      <c r="L81" s="201">
        <f t="shared" si="22"/>
        <v>2451.7799999999997</v>
      </c>
      <c r="M81" s="408">
        <f t="shared" si="23"/>
        <v>29421.360000000001</v>
      </c>
      <c r="N81" s="285">
        <f>'RETRIBUCIONES 2025'!$E$9</f>
        <v>744.56</v>
      </c>
      <c r="O81" s="166">
        <f>'RETRIBUCIONES 2025'!$E$10*4</f>
        <v>108.84</v>
      </c>
      <c r="P81" s="285">
        <f>SUM(N81:O81)</f>
        <v>853.4</v>
      </c>
      <c r="Q81" s="285">
        <f>H81</f>
        <v>445.5</v>
      </c>
      <c r="R81" s="285">
        <f>J81</f>
        <v>1018.7</v>
      </c>
      <c r="S81" s="285">
        <f>P81+Q81+R81</f>
        <v>2317.6000000000004</v>
      </c>
      <c r="T81" s="409">
        <f t="shared" si="15"/>
        <v>34056.559999999998</v>
      </c>
      <c r="U81" s="410">
        <f t="shared" si="16"/>
        <v>11238.6648</v>
      </c>
      <c r="V81" s="411">
        <f t="shared" si="17"/>
        <v>45295.224799999996</v>
      </c>
    </row>
    <row r="82" spans="1:22" s="1" customFormat="1" ht="16.5" x14ac:dyDescent="0.25">
      <c r="A82" s="454"/>
      <c r="B82" s="251"/>
      <c r="C82" s="166"/>
      <c r="D82" s="166"/>
      <c r="E82" s="166"/>
      <c r="F82" s="177"/>
      <c r="G82" s="165"/>
      <c r="H82" s="166"/>
      <c r="I82" s="308"/>
      <c r="J82" s="166"/>
      <c r="K82" s="308"/>
      <c r="L82" s="201"/>
      <c r="M82" s="408"/>
      <c r="N82" s="285"/>
      <c r="O82" s="285"/>
      <c r="P82" s="285"/>
      <c r="Q82" s="285"/>
      <c r="R82" s="285"/>
      <c r="S82" s="285"/>
      <c r="T82" s="409">
        <f t="shared" si="15"/>
        <v>0</v>
      </c>
      <c r="U82" s="410">
        <f t="shared" si="16"/>
        <v>0</v>
      </c>
      <c r="V82" s="411">
        <f t="shared" si="17"/>
        <v>0</v>
      </c>
    </row>
    <row r="83" spans="1:22" s="1" customFormat="1" ht="16.5" x14ac:dyDescent="0.25">
      <c r="A83" s="454" t="s">
        <v>233</v>
      </c>
      <c r="B83" s="251" t="s">
        <v>15</v>
      </c>
      <c r="C83" s="166">
        <f>'RETRIBUCIONES 2025'!$E$4</f>
        <v>861.46</v>
      </c>
      <c r="D83" s="166">
        <f t="shared" si="18"/>
        <v>10337.52</v>
      </c>
      <c r="E83" s="166">
        <f>'RETRIBUCIONES 2025'!$E$5*3</f>
        <v>94.59</v>
      </c>
      <c r="F83" s="177">
        <f t="shared" si="19"/>
        <v>1135.08</v>
      </c>
      <c r="G83" s="165" t="s">
        <v>58</v>
      </c>
      <c r="H83" s="166">
        <f>'RETRIBUCIONES 2025'!$J$14</f>
        <v>445.5</v>
      </c>
      <c r="I83" s="308">
        <f t="shared" si="20"/>
        <v>5346</v>
      </c>
      <c r="J83" s="166">
        <v>1018.7</v>
      </c>
      <c r="K83" s="308">
        <f t="shared" si="21"/>
        <v>12224.400000000001</v>
      </c>
      <c r="L83" s="201">
        <f t="shared" si="22"/>
        <v>2420.25</v>
      </c>
      <c r="M83" s="408">
        <f t="shared" si="23"/>
        <v>29043</v>
      </c>
      <c r="N83" s="285">
        <f>'RETRIBUCIONES 2025'!$E$9</f>
        <v>744.56</v>
      </c>
      <c r="O83" s="166">
        <f>'RETRIBUCIONES 2025'!$E$10*3</f>
        <v>81.63</v>
      </c>
      <c r="P83" s="285">
        <f>SUM(N83:O83)</f>
        <v>826.18999999999994</v>
      </c>
      <c r="Q83" s="285">
        <f>H83</f>
        <v>445.5</v>
      </c>
      <c r="R83" s="285">
        <f>J83</f>
        <v>1018.7</v>
      </c>
      <c r="S83" s="285">
        <f>P83+Q83+R83</f>
        <v>2290.3900000000003</v>
      </c>
      <c r="T83" s="409">
        <f t="shared" si="15"/>
        <v>33623.78</v>
      </c>
      <c r="U83" s="410">
        <f t="shared" si="16"/>
        <v>11095.847400000001</v>
      </c>
      <c r="V83" s="411">
        <f t="shared" si="17"/>
        <v>44719.627399999998</v>
      </c>
    </row>
    <row r="84" spans="1:22" s="1" customFormat="1" ht="16.5" x14ac:dyDescent="0.25">
      <c r="A84" s="454"/>
      <c r="B84" s="251"/>
      <c r="C84" s="166"/>
      <c r="D84" s="166"/>
      <c r="E84" s="166"/>
      <c r="F84" s="177"/>
      <c r="G84" s="165"/>
      <c r="H84" s="166"/>
      <c r="I84" s="308"/>
      <c r="J84" s="166"/>
      <c r="K84" s="308"/>
      <c r="L84" s="201"/>
      <c r="M84" s="408"/>
      <c r="N84" s="285"/>
      <c r="O84" s="285"/>
      <c r="P84" s="285"/>
      <c r="Q84" s="285"/>
      <c r="R84" s="285"/>
      <c r="S84" s="285"/>
      <c r="T84" s="409">
        <f t="shared" si="15"/>
        <v>0</v>
      </c>
      <c r="U84" s="410">
        <f t="shared" si="16"/>
        <v>0</v>
      </c>
      <c r="V84" s="411">
        <f t="shared" si="17"/>
        <v>0</v>
      </c>
    </row>
    <row r="85" spans="1:22" s="1" customFormat="1" ht="16.5" x14ac:dyDescent="0.25">
      <c r="A85" s="454" t="s">
        <v>233</v>
      </c>
      <c r="B85" s="251" t="s">
        <v>15</v>
      </c>
      <c r="C85" s="166">
        <f>'RETRIBUCIONES 2025'!$E$4</f>
        <v>861.46</v>
      </c>
      <c r="D85" s="166">
        <f t="shared" si="18"/>
        <v>10337.52</v>
      </c>
      <c r="E85" s="166">
        <f>'RETRIBUCIONES 2025'!$E$5*4</f>
        <v>126.12</v>
      </c>
      <c r="F85" s="177">
        <f t="shared" si="19"/>
        <v>1513.44</v>
      </c>
      <c r="G85" s="165" t="s">
        <v>58</v>
      </c>
      <c r="H85" s="166">
        <f>'RETRIBUCIONES 2025'!$J$14</f>
        <v>445.5</v>
      </c>
      <c r="I85" s="308">
        <f t="shared" si="20"/>
        <v>5346</v>
      </c>
      <c r="J85" s="166">
        <v>1018.7</v>
      </c>
      <c r="K85" s="308">
        <f t="shared" si="21"/>
        <v>12224.400000000001</v>
      </c>
      <c r="L85" s="201">
        <f t="shared" si="22"/>
        <v>2451.7799999999997</v>
      </c>
      <c r="M85" s="408">
        <f t="shared" si="23"/>
        <v>29421.360000000001</v>
      </c>
      <c r="N85" s="285">
        <f>'RETRIBUCIONES 2025'!$E$9</f>
        <v>744.56</v>
      </c>
      <c r="O85" s="166">
        <f>'RETRIBUCIONES 2025'!$E$10*4</f>
        <v>108.84</v>
      </c>
      <c r="P85" s="285">
        <f>SUM(N85:O85)</f>
        <v>853.4</v>
      </c>
      <c r="Q85" s="285">
        <f>H85</f>
        <v>445.5</v>
      </c>
      <c r="R85" s="285">
        <f>J85</f>
        <v>1018.7</v>
      </c>
      <c r="S85" s="285">
        <f>P85+Q85+R85</f>
        <v>2317.6000000000004</v>
      </c>
      <c r="T85" s="409">
        <f t="shared" si="15"/>
        <v>34056.559999999998</v>
      </c>
      <c r="U85" s="410">
        <f t="shared" si="16"/>
        <v>11238.6648</v>
      </c>
      <c r="V85" s="411">
        <f t="shared" si="17"/>
        <v>45295.224799999996</v>
      </c>
    </row>
    <row r="86" spans="1:22" s="1" customFormat="1" ht="16.5" x14ac:dyDescent="0.25">
      <c r="A86" s="454"/>
      <c r="B86" s="251"/>
      <c r="C86" s="166"/>
      <c r="D86" s="166"/>
      <c r="E86" s="166"/>
      <c r="F86" s="177"/>
      <c r="G86" s="165"/>
      <c r="H86" s="166"/>
      <c r="I86" s="308"/>
      <c r="J86" s="166"/>
      <c r="K86" s="308"/>
      <c r="L86" s="201"/>
      <c r="M86" s="408"/>
      <c r="N86" s="285"/>
      <c r="O86" s="285"/>
      <c r="P86" s="285"/>
      <c r="Q86" s="285"/>
      <c r="R86" s="285"/>
      <c r="S86" s="285"/>
      <c r="T86" s="409">
        <f t="shared" si="15"/>
        <v>0</v>
      </c>
      <c r="U86" s="410">
        <f t="shared" si="16"/>
        <v>0</v>
      </c>
      <c r="V86" s="411">
        <f t="shared" si="17"/>
        <v>0</v>
      </c>
    </row>
    <row r="87" spans="1:22" s="1" customFormat="1" ht="16.5" x14ac:dyDescent="0.25">
      <c r="A87" s="454" t="s">
        <v>233</v>
      </c>
      <c r="B87" s="251" t="s">
        <v>15</v>
      </c>
      <c r="C87" s="166">
        <f>'RETRIBUCIONES 2025'!$E$4</f>
        <v>861.46</v>
      </c>
      <c r="D87" s="166">
        <f t="shared" si="18"/>
        <v>10337.52</v>
      </c>
      <c r="E87" s="166">
        <f>'RETRIBUCIONES 2025'!$E$5*6</f>
        <v>189.18</v>
      </c>
      <c r="F87" s="177">
        <f t="shared" si="19"/>
        <v>2270.16</v>
      </c>
      <c r="G87" s="165" t="s">
        <v>51</v>
      </c>
      <c r="H87" s="166">
        <f>'RETRIBUCIONES 2025'!$K$14</f>
        <v>472.37</v>
      </c>
      <c r="I87" s="308">
        <f t="shared" si="20"/>
        <v>5668.4400000000005</v>
      </c>
      <c r="J87" s="166">
        <v>1018.7</v>
      </c>
      <c r="K87" s="308">
        <f t="shared" si="21"/>
        <v>12224.400000000001</v>
      </c>
      <c r="L87" s="201">
        <f t="shared" si="22"/>
        <v>2541.71</v>
      </c>
      <c r="M87" s="408">
        <f t="shared" si="23"/>
        <v>30500.520000000004</v>
      </c>
      <c r="N87" s="285">
        <f>'RETRIBUCIONES 2025'!$E$9</f>
        <v>744.56</v>
      </c>
      <c r="O87" s="166">
        <f>'RETRIBUCIONES 2025'!$E$10*6</f>
        <v>163.26</v>
      </c>
      <c r="P87" s="285">
        <f>SUM(N87:O87)</f>
        <v>907.81999999999994</v>
      </c>
      <c r="Q87" s="285">
        <f>H87</f>
        <v>472.37</v>
      </c>
      <c r="R87" s="285">
        <f>J87</f>
        <v>1018.7</v>
      </c>
      <c r="S87" s="285">
        <f>P87+Q87+R87</f>
        <v>2398.8900000000003</v>
      </c>
      <c r="T87" s="409">
        <f t="shared" si="15"/>
        <v>35298.300000000003</v>
      </c>
      <c r="U87" s="410">
        <f t="shared" si="16"/>
        <v>11648.439000000002</v>
      </c>
      <c r="V87" s="411">
        <f t="shared" si="17"/>
        <v>46946.739000000001</v>
      </c>
    </row>
    <row r="88" spans="1:22" s="1" customFormat="1" ht="16.5" x14ac:dyDescent="0.25">
      <c r="A88" s="454"/>
      <c r="B88" s="251"/>
      <c r="C88" s="166"/>
      <c r="D88" s="166"/>
      <c r="E88" s="166"/>
      <c r="F88" s="177"/>
      <c r="G88" s="165"/>
      <c r="H88" s="166"/>
      <c r="I88" s="308"/>
      <c r="J88" s="166"/>
      <c r="K88" s="308"/>
      <c r="L88" s="201"/>
      <c r="M88" s="408"/>
      <c r="N88" s="285"/>
      <c r="O88" s="285"/>
      <c r="P88" s="285"/>
      <c r="Q88" s="285"/>
      <c r="R88" s="285"/>
      <c r="S88" s="285"/>
      <c r="T88" s="409">
        <f t="shared" si="15"/>
        <v>0</v>
      </c>
      <c r="U88" s="410">
        <f t="shared" si="16"/>
        <v>0</v>
      </c>
      <c r="V88" s="411">
        <f t="shared" si="17"/>
        <v>0</v>
      </c>
    </row>
    <row r="89" spans="1:22" s="1" customFormat="1" ht="16.5" x14ac:dyDescent="0.25">
      <c r="A89" s="454" t="s">
        <v>233</v>
      </c>
      <c r="B89" s="251" t="s">
        <v>15</v>
      </c>
      <c r="C89" s="166">
        <f>'RETRIBUCIONES 2025'!$E$4</f>
        <v>861.46</v>
      </c>
      <c r="D89" s="166">
        <f t="shared" si="18"/>
        <v>10337.52</v>
      </c>
      <c r="E89" s="166">
        <f>'RETRIBUCIONES 2025'!$E$5*4</f>
        <v>126.12</v>
      </c>
      <c r="F89" s="177">
        <f t="shared" si="19"/>
        <v>1513.44</v>
      </c>
      <c r="G89" s="165" t="s">
        <v>99</v>
      </c>
      <c r="H89" s="166">
        <f>'RETRIBUCIONES 2025'!$N$14</f>
        <v>566.36</v>
      </c>
      <c r="I89" s="308">
        <f t="shared" si="20"/>
        <v>6796.32</v>
      </c>
      <c r="J89" s="166">
        <v>1018.7</v>
      </c>
      <c r="K89" s="308">
        <f t="shared" si="21"/>
        <v>12224.400000000001</v>
      </c>
      <c r="L89" s="201">
        <f t="shared" si="22"/>
        <v>2572.6400000000003</v>
      </c>
      <c r="M89" s="408">
        <f t="shared" si="23"/>
        <v>30871.68</v>
      </c>
      <c r="N89" s="285">
        <f>'RETRIBUCIONES 2025'!$E$9</f>
        <v>744.56</v>
      </c>
      <c r="O89" s="166">
        <f>'RETRIBUCIONES 2025'!$E$10*4</f>
        <v>108.84</v>
      </c>
      <c r="P89" s="285">
        <f>SUM(N89:O89)</f>
        <v>853.4</v>
      </c>
      <c r="Q89" s="285">
        <f>H89</f>
        <v>566.36</v>
      </c>
      <c r="R89" s="285">
        <f>J89</f>
        <v>1018.7</v>
      </c>
      <c r="S89" s="285">
        <f>P89+Q89+R89</f>
        <v>2438.46</v>
      </c>
      <c r="T89" s="409">
        <f t="shared" si="15"/>
        <v>35748.6</v>
      </c>
      <c r="U89" s="410">
        <f t="shared" si="16"/>
        <v>11797.038</v>
      </c>
      <c r="V89" s="411">
        <f t="shared" si="17"/>
        <v>47545.637999999999</v>
      </c>
    </row>
    <row r="90" spans="1:22" s="1" customFormat="1" ht="16.5" x14ac:dyDescent="0.25">
      <c r="A90" s="454"/>
      <c r="B90" s="251"/>
      <c r="C90" s="166"/>
      <c r="D90" s="166"/>
      <c r="E90" s="166"/>
      <c r="F90" s="177"/>
      <c r="G90" s="165"/>
      <c r="H90" s="166"/>
      <c r="I90" s="308"/>
      <c r="J90" s="166"/>
      <c r="K90" s="308"/>
      <c r="L90" s="201"/>
      <c r="M90" s="408"/>
      <c r="N90" s="285"/>
      <c r="O90" s="285"/>
      <c r="P90" s="285"/>
      <c r="Q90" s="285"/>
      <c r="R90" s="285"/>
      <c r="S90" s="285"/>
      <c r="T90" s="409">
        <f t="shared" si="15"/>
        <v>0</v>
      </c>
      <c r="U90" s="410">
        <f t="shared" si="16"/>
        <v>0</v>
      </c>
      <c r="V90" s="411">
        <f t="shared" si="17"/>
        <v>0</v>
      </c>
    </row>
    <row r="91" spans="1:22" s="1" customFormat="1" ht="16.5" x14ac:dyDescent="0.25">
      <c r="A91" s="454" t="s">
        <v>233</v>
      </c>
      <c r="B91" s="251" t="s">
        <v>15</v>
      </c>
      <c r="C91" s="166">
        <f>'RETRIBUCIONES 2025'!$E$4</f>
        <v>861.46</v>
      </c>
      <c r="D91" s="166">
        <f t="shared" si="18"/>
        <v>10337.52</v>
      </c>
      <c r="E91" s="166">
        <f>'RETRIBUCIONES 2025'!$E$5*7</f>
        <v>220.71</v>
      </c>
      <c r="F91" s="177">
        <f t="shared" si="19"/>
        <v>2648.52</v>
      </c>
      <c r="G91" s="202">
        <v>17</v>
      </c>
      <c r="H91" s="166">
        <f>'RETRIBUCIONES 2025'!$J$14</f>
        <v>445.5</v>
      </c>
      <c r="I91" s="308">
        <f t="shared" si="20"/>
        <v>5346</v>
      </c>
      <c r="J91" s="166">
        <v>1018.7</v>
      </c>
      <c r="K91" s="308">
        <f t="shared" si="21"/>
        <v>12224.400000000001</v>
      </c>
      <c r="L91" s="201">
        <f t="shared" si="22"/>
        <v>2546.37</v>
      </c>
      <c r="M91" s="408">
        <f t="shared" si="23"/>
        <v>30556.440000000002</v>
      </c>
      <c r="N91" s="285">
        <f>'RETRIBUCIONES 2025'!$E$9</f>
        <v>744.56</v>
      </c>
      <c r="O91" s="166">
        <f>'RETRIBUCIONES 2025'!$E$10*7</f>
        <v>190.47</v>
      </c>
      <c r="P91" s="285">
        <f>SUM(N91:O91)</f>
        <v>935.03</v>
      </c>
      <c r="Q91" s="285">
        <f>H91</f>
        <v>445.5</v>
      </c>
      <c r="R91" s="285">
        <f>J91</f>
        <v>1018.7</v>
      </c>
      <c r="S91" s="285">
        <f>P91+Q91+R91</f>
        <v>2399.23</v>
      </c>
      <c r="T91" s="409">
        <f t="shared" si="15"/>
        <v>35354.9</v>
      </c>
      <c r="U91" s="410">
        <f t="shared" si="16"/>
        <v>11667.117</v>
      </c>
      <c r="V91" s="411">
        <f t="shared" si="17"/>
        <v>47022.017</v>
      </c>
    </row>
    <row r="92" spans="1:22" s="1" customFormat="1" ht="16.5" x14ac:dyDescent="0.25">
      <c r="A92" s="454"/>
      <c r="B92" s="251"/>
      <c r="C92" s="166"/>
      <c r="D92" s="166"/>
      <c r="E92" s="166"/>
      <c r="F92" s="177"/>
      <c r="G92" s="165"/>
      <c r="H92" s="166"/>
      <c r="I92" s="308"/>
      <c r="J92" s="166"/>
      <c r="K92" s="308"/>
      <c r="L92" s="201"/>
      <c r="M92" s="408"/>
      <c r="N92" s="285"/>
      <c r="O92" s="285"/>
      <c r="P92" s="285"/>
      <c r="Q92" s="285"/>
      <c r="R92" s="285"/>
      <c r="S92" s="285"/>
      <c r="T92" s="409">
        <f t="shared" si="15"/>
        <v>0</v>
      </c>
      <c r="U92" s="410">
        <f t="shared" si="16"/>
        <v>0</v>
      </c>
      <c r="V92" s="411">
        <f t="shared" si="17"/>
        <v>0</v>
      </c>
    </row>
    <row r="93" spans="1:22" s="1" customFormat="1" ht="16.5" x14ac:dyDescent="0.25">
      <c r="A93" s="454" t="s">
        <v>233</v>
      </c>
      <c r="B93" s="251" t="s">
        <v>15</v>
      </c>
      <c r="C93" s="166">
        <f>'RETRIBUCIONES 2025'!$E$4</f>
        <v>861.46</v>
      </c>
      <c r="D93" s="166">
        <f t="shared" si="18"/>
        <v>10337.52</v>
      </c>
      <c r="E93" s="166">
        <f>('RETRIBUCIONES 2025'!$F$5*2)+('RETRIBUCIONES 2025'!$E$5*9)</f>
        <v>326.69</v>
      </c>
      <c r="F93" s="177">
        <f t="shared" si="19"/>
        <v>3920.2799999999997</v>
      </c>
      <c r="G93" s="165" t="s">
        <v>58</v>
      </c>
      <c r="H93" s="166">
        <f>'RETRIBUCIONES 2025'!$J$14</f>
        <v>445.5</v>
      </c>
      <c r="I93" s="308">
        <f t="shared" si="20"/>
        <v>5346</v>
      </c>
      <c r="J93" s="166">
        <v>1018.7</v>
      </c>
      <c r="K93" s="308">
        <f t="shared" si="21"/>
        <v>12224.400000000001</v>
      </c>
      <c r="L93" s="201">
        <f t="shared" si="22"/>
        <v>2652.3500000000004</v>
      </c>
      <c r="M93" s="408">
        <f t="shared" si="23"/>
        <v>31828.2</v>
      </c>
      <c r="N93" s="285">
        <f>'RETRIBUCIONES 2025'!$E$9</f>
        <v>744.56</v>
      </c>
      <c r="O93" s="166">
        <f>('RETRIBUCIONES 2025'!$F$10*2)+('RETRIBUCIONES 2025'!$E$10*9)</f>
        <v>287.37</v>
      </c>
      <c r="P93" s="285">
        <f>SUM(N93:O93)</f>
        <v>1031.9299999999998</v>
      </c>
      <c r="Q93" s="285">
        <f>H93</f>
        <v>445.5</v>
      </c>
      <c r="R93" s="285">
        <f>J93</f>
        <v>1018.7</v>
      </c>
      <c r="S93" s="285">
        <f>P93+Q93+R93</f>
        <v>2496.13</v>
      </c>
      <c r="T93" s="409">
        <f t="shared" si="15"/>
        <v>36820.46</v>
      </c>
      <c r="U93" s="410">
        <f t="shared" si="16"/>
        <v>12150.7518</v>
      </c>
      <c r="V93" s="411">
        <f t="shared" si="17"/>
        <v>48971.211799999997</v>
      </c>
    </row>
    <row r="94" spans="1:22" s="1" customFormat="1" ht="16.5" x14ac:dyDescent="0.25">
      <c r="A94" s="454"/>
      <c r="B94" s="251"/>
      <c r="C94" s="166"/>
      <c r="D94" s="166"/>
      <c r="E94" s="166"/>
      <c r="F94" s="177"/>
      <c r="G94" s="165"/>
      <c r="H94" s="166"/>
      <c r="I94" s="308"/>
      <c r="J94" s="166"/>
      <c r="K94" s="308"/>
      <c r="L94" s="201"/>
      <c r="M94" s="408"/>
      <c r="N94" s="285"/>
      <c r="O94" s="285"/>
      <c r="P94" s="285"/>
      <c r="Q94" s="285"/>
      <c r="R94" s="285"/>
      <c r="S94" s="285"/>
      <c r="T94" s="409">
        <f t="shared" si="15"/>
        <v>0</v>
      </c>
      <c r="U94" s="410">
        <f t="shared" si="16"/>
        <v>0</v>
      </c>
      <c r="V94" s="411">
        <f t="shared" si="17"/>
        <v>0</v>
      </c>
    </row>
    <row r="95" spans="1:22" s="1" customFormat="1" ht="16.5" x14ac:dyDescent="0.25">
      <c r="A95" s="454" t="s">
        <v>233</v>
      </c>
      <c r="B95" s="251" t="s">
        <v>15</v>
      </c>
      <c r="C95" s="166">
        <f>'RETRIBUCIONES 2025'!$E$4</f>
        <v>861.46</v>
      </c>
      <c r="D95" s="166">
        <f t="shared" si="18"/>
        <v>10337.52</v>
      </c>
      <c r="E95" s="166">
        <f>'RETRIBUCIONES 2025'!E5</f>
        <v>31.53</v>
      </c>
      <c r="F95" s="177">
        <f t="shared" si="19"/>
        <v>378.36</v>
      </c>
      <c r="G95" s="165" t="s">
        <v>58</v>
      </c>
      <c r="H95" s="166">
        <f>'RETRIBUCIONES 2025'!$J$14</f>
        <v>445.5</v>
      </c>
      <c r="I95" s="308">
        <f t="shared" si="20"/>
        <v>5346</v>
      </c>
      <c r="J95" s="166">
        <v>1018.7</v>
      </c>
      <c r="K95" s="308">
        <f t="shared" si="21"/>
        <v>12224.400000000001</v>
      </c>
      <c r="L95" s="201">
        <f t="shared" si="22"/>
        <v>2357.19</v>
      </c>
      <c r="M95" s="408">
        <f t="shared" si="23"/>
        <v>28286.280000000002</v>
      </c>
      <c r="N95" s="285">
        <f>'RETRIBUCIONES 2025'!$E$9</f>
        <v>744.56</v>
      </c>
      <c r="O95" s="166">
        <f>'RETRIBUCIONES 2025'!E10</f>
        <v>27.21</v>
      </c>
      <c r="P95" s="285">
        <f>SUM(N95:O95)</f>
        <v>771.77</v>
      </c>
      <c r="Q95" s="285">
        <f>H95</f>
        <v>445.5</v>
      </c>
      <c r="R95" s="285">
        <f>J95</f>
        <v>1018.7</v>
      </c>
      <c r="S95" s="285">
        <f>P95+Q95+R95</f>
        <v>2235.9700000000003</v>
      </c>
      <c r="T95" s="409">
        <f t="shared" si="15"/>
        <v>32758.22</v>
      </c>
      <c r="U95" s="410">
        <f t="shared" si="16"/>
        <v>10810.212600000001</v>
      </c>
      <c r="V95" s="411">
        <f t="shared" si="17"/>
        <v>43568.4326</v>
      </c>
    </row>
    <row r="96" spans="1:22" s="1" customFormat="1" ht="16.5" x14ac:dyDescent="0.25">
      <c r="A96" s="454"/>
      <c r="B96" s="251"/>
      <c r="C96" s="166"/>
      <c r="D96" s="166"/>
      <c r="E96" s="166"/>
      <c r="F96" s="177"/>
      <c r="G96" s="165"/>
      <c r="H96" s="166"/>
      <c r="I96" s="308"/>
      <c r="J96" s="166"/>
      <c r="K96" s="308"/>
      <c r="L96" s="201"/>
      <c r="M96" s="408"/>
      <c r="N96" s="285"/>
      <c r="O96" s="285"/>
      <c r="P96" s="285"/>
      <c r="Q96" s="285"/>
      <c r="R96" s="285"/>
      <c r="S96" s="285"/>
      <c r="T96" s="409">
        <f t="shared" si="15"/>
        <v>0</v>
      </c>
      <c r="U96" s="410">
        <f t="shared" si="16"/>
        <v>0</v>
      </c>
      <c r="V96" s="411">
        <f t="shared" si="17"/>
        <v>0</v>
      </c>
    </row>
    <row r="97" spans="1:22" s="1" customFormat="1" ht="16.5" x14ac:dyDescent="0.25">
      <c r="A97" s="454" t="s">
        <v>233</v>
      </c>
      <c r="B97" s="251" t="s">
        <v>15</v>
      </c>
      <c r="C97" s="166">
        <f>'RETRIBUCIONES 2025'!$E$4</f>
        <v>861.46</v>
      </c>
      <c r="D97" s="166">
        <f t="shared" si="18"/>
        <v>10337.52</v>
      </c>
      <c r="E97" s="166">
        <f>'RETRIBUCIONES 2025'!$E$5*1</f>
        <v>31.53</v>
      </c>
      <c r="F97" s="177">
        <f t="shared" si="19"/>
        <v>378.36</v>
      </c>
      <c r="G97" s="165" t="s">
        <v>58</v>
      </c>
      <c r="H97" s="166">
        <f>'RETRIBUCIONES 2025'!$J$14</f>
        <v>445.5</v>
      </c>
      <c r="I97" s="308">
        <f t="shared" si="20"/>
        <v>5346</v>
      </c>
      <c r="J97" s="166">
        <v>1018.7</v>
      </c>
      <c r="K97" s="308">
        <f t="shared" si="21"/>
        <v>12224.400000000001</v>
      </c>
      <c r="L97" s="201">
        <f t="shared" si="22"/>
        <v>2357.19</v>
      </c>
      <c r="M97" s="408">
        <f t="shared" si="23"/>
        <v>28286.280000000002</v>
      </c>
      <c r="N97" s="285">
        <f>'RETRIBUCIONES 2025'!$E$9</f>
        <v>744.56</v>
      </c>
      <c r="O97" s="166">
        <f>'RETRIBUCIONES 2025'!$E$10*1</f>
        <v>27.21</v>
      </c>
      <c r="P97" s="285">
        <f>SUM(N97:O97)</f>
        <v>771.77</v>
      </c>
      <c r="Q97" s="285">
        <f>H97</f>
        <v>445.5</v>
      </c>
      <c r="R97" s="285">
        <f>J97</f>
        <v>1018.7</v>
      </c>
      <c r="S97" s="285">
        <f>P97+Q97+R97</f>
        <v>2235.9700000000003</v>
      </c>
      <c r="T97" s="409">
        <f t="shared" si="15"/>
        <v>32758.22</v>
      </c>
      <c r="U97" s="410">
        <f t="shared" si="16"/>
        <v>10810.212600000001</v>
      </c>
      <c r="V97" s="411">
        <f t="shared" si="17"/>
        <v>43568.4326</v>
      </c>
    </row>
    <row r="98" spans="1:22" s="1" customFormat="1" ht="16.5" x14ac:dyDescent="0.25">
      <c r="A98" s="454"/>
      <c r="B98" s="251"/>
      <c r="C98" s="166"/>
      <c r="D98" s="166"/>
      <c r="E98" s="166"/>
      <c r="F98" s="177"/>
      <c r="G98" s="165"/>
      <c r="H98" s="166"/>
      <c r="I98" s="308"/>
      <c r="J98" s="166"/>
      <c r="K98" s="308"/>
      <c r="L98" s="201"/>
      <c r="M98" s="408"/>
      <c r="N98" s="285"/>
      <c r="O98" s="285"/>
      <c r="P98" s="285"/>
      <c r="Q98" s="285"/>
      <c r="R98" s="285"/>
      <c r="S98" s="285"/>
      <c r="T98" s="409">
        <f t="shared" si="15"/>
        <v>0</v>
      </c>
      <c r="U98" s="410">
        <f t="shared" si="16"/>
        <v>0</v>
      </c>
      <c r="V98" s="411">
        <f t="shared" si="17"/>
        <v>0</v>
      </c>
    </row>
    <row r="99" spans="1:22" s="1" customFormat="1" ht="16.5" x14ac:dyDescent="0.25">
      <c r="A99" s="454" t="s">
        <v>233</v>
      </c>
      <c r="B99" s="251" t="s">
        <v>15</v>
      </c>
      <c r="C99" s="166">
        <f>'RETRIBUCIONES 2025'!$E$4</f>
        <v>861.46</v>
      </c>
      <c r="D99" s="166">
        <f t="shared" si="18"/>
        <v>10337.52</v>
      </c>
      <c r="E99" s="166">
        <f>'RETRIBUCIONES 2025'!$E$5*5</f>
        <v>157.65</v>
      </c>
      <c r="F99" s="177">
        <f t="shared" si="19"/>
        <v>1891.8000000000002</v>
      </c>
      <c r="G99" s="165" t="s">
        <v>58</v>
      </c>
      <c r="H99" s="166">
        <f>'RETRIBUCIONES 2025'!$J$14</f>
        <v>445.5</v>
      </c>
      <c r="I99" s="308">
        <f t="shared" si="20"/>
        <v>5346</v>
      </c>
      <c r="J99" s="166">
        <v>1018.7</v>
      </c>
      <c r="K99" s="308">
        <f t="shared" si="21"/>
        <v>12224.400000000001</v>
      </c>
      <c r="L99" s="201">
        <f t="shared" si="22"/>
        <v>2483.3100000000004</v>
      </c>
      <c r="M99" s="408">
        <f t="shared" si="23"/>
        <v>29799.72</v>
      </c>
      <c r="N99" s="285">
        <f>'RETRIBUCIONES 2025'!$E$9</f>
        <v>744.56</v>
      </c>
      <c r="O99" s="166">
        <f>'RETRIBUCIONES 2025'!$E$10*5</f>
        <v>136.05000000000001</v>
      </c>
      <c r="P99" s="285">
        <f>SUM(N99:O99)</f>
        <v>880.6099999999999</v>
      </c>
      <c r="Q99" s="285">
        <f>H99</f>
        <v>445.5</v>
      </c>
      <c r="R99" s="285">
        <f>J99</f>
        <v>1018.7</v>
      </c>
      <c r="S99" s="285">
        <f>P99+Q99+R99</f>
        <v>2344.81</v>
      </c>
      <c r="T99" s="409">
        <f t="shared" si="15"/>
        <v>34489.340000000004</v>
      </c>
      <c r="U99" s="410">
        <f t="shared" si="16"/>
        <v>11381.482200000002</v>
      </c>
      <c r="V99" s="411">
        <f t="shared" si="17"/>
        <v>45870.82220000001</v>
      </c>
    </row>
    <row r="100" spans="1:22" s="1" customFormat="1" ht="16.5" x14ac:dyDescent="0.25">
      <c r="A100" s="454"/>
      <c r="B100" s="251"/>
      <c r="C100" s="166"/>
      <c r="D100" s="166"/>
      <c r="E100" s="166"/>
      <c r="F100" s="177"/>
      <c r="G100" s="165"/>
      <c r="H100" s="166"/>
      <c r="I100" s="308"/>
      <c r="J100" s="166"/>
      <c r="K100" s="308"/>
      <c r="L100" s="201"/>
      <c r="M100" s="408"/>
      <c r="N100" s="285"/>
      <c r="O100" s="285"/>
      <c r="P100" s="285"/>
      <c r="Q100" s="285"/>
      <c r="R100" s="285"/>
      <c r="S100" s="285"/>
      <c r="T100" s="409">
        <f t="shared" si="15"/>
        <v>0</v>
      </c>
      <c r="U100" s="410">
        <f t="shared" si="16"/>
        <v>0</v>
      </c>
      <c r="V100" s="411">
        <f t="shared" si="17"/>
        <v>0</v>
      </c>
    </row>
    <row r="101" spans="1:22" s="1" customFormat="1" ht="16.5" x14ac:dyDescent="0.25">
      <c r="A101" s="454" t="s">
        <v>233</v>
      </c>
      <c r="B101" s="251" t="s">
        <v>15</v>
      </c>
      <c r="C101" s="166">
        <f>'RETRIBUCIONES 2025'!$E$4</f>
        <v>861.46</v>
      </c>
      <c r="D101" s="166">
        <f t="shared" si="18"/>
        <v>10337.52</v>
      </c>
      <c r="E101" s="166">
        <f>'RETRIBUCIONES 2025'!$E$5*9</f>
        <v>283.77</v>
      </c>
      <c r="F101" s="177">
        <f t="shared" si="19"/>
        <v>3405.24</v>
      </c>
      <c r="G101" s="165" t="s">
        <v>58</v>
      </c>
      <c r="H101" s="166">
        <f>'RETRIBUCIONES 2025'!$J$14</f>
        <v>445.5</v>
      </c>
      <c r="I101" s="308">
        <f t="shared" si="20"/>
        <v>5346</v>
      </c>
      <c r="J101" s="166">
        <v>1018.7</v>
      </c>
      <c r="K101" s="308">
        <f t="shared" si="21"/>
        <v>12224.400000000001</v>
      </c>
      <c r="L101" s="201">
        <f t="shared" si="22"/>
        <v>2609.4300000000003</v>
      </c>
      <c r="M101" s="408">
        <f t="shared" si="23"/>
        <v>31313.160000000003</v>
      </c>
      <c r="N101" s="285">
        <f>'RETRIBUCIONES 2025'!$E$9</f>
        <v>744.56</v>
      </c>
      <c r="O101" s="166">
        <f>'RETRIBUCIONES 2025'!$E$10*9</f>
        <v>244.89000000000001</v>
      </c>
      <c r="P101" s="285">
        <f>SUM(N101:O101)</f>
        <v>989.44999999999993</v>
      </c>
      <c r="Q101" s="285">
        <f>H101</f>
        <v>445.5</v>
      </c>
      <c r="R101" s="285">
        <f>J101</f>
        <v>1018.7</v>
      </c>
      <c r="S101" s="285">
        <f>P101+Q101+R101</f>
        <v>2453.6499999999996</v>
      </c>
      <c r="T101" s="409">
        <f t="shared" si="15"/>
        <v>36220.460000000006</v>
      </c>
      <c r="U101" s="410">
        <f t="shared" si="16"/>
        <v>11952.751800000002</v>
      </c>
      <c r="V101" s="411">
        <f t="shared" si="17"/>
        <v>48173.211800000005</v>
      </c>
    </row>
    <row r="102" spans="1:22" s="1" customFormat="1" ht="16.5" x14ac:dyDescent="0.25">
      <c r="A102" s="454"/>
      <c r="B102" s="251"/>
      <c r="C102" s="166"/>
      <c r="D102" s="166"/>
      <c r="E102" s="166"/>
      <c r="F102" s="177"/>
      <c r="G102" s="165"/>
      <c r="H102" s="166"/>
      <c r="I102" s="308"/>
      <c r="J102" s="166"/>
      <c r="K102" s="308"/>
      <c r="L102" s="201"/>
      <c r="M102" s="408"/>
      <c r="N102" s="285"/>
      <c r="O102" s="285"/>
      <c r="P102" s="285"/>
      <c r="Q102" s="285"/>
      <c r="R102" s="285"/>
      <c r="S102" s="285"/>
      <c r="T102" s="409">
        <f t="shared" si="15"/>
        <v>0</v>
      </c>
      <c r="U102" s="410">
        <f t="shared" si="16"/>
        <v>0</v>
      </c>
      <c r="V102" s="411">
        <f t="shared" si="17"/>
        <v>0</v>
      </c>
    </row>
    <row r="103" spans="1:22" s="1" customFormat="1" ht="16.5" x14ac:dyDescent="0.25">
      <c r="A103" s="454" t="s">
        <v>233</v>
      </c>
      <c r="B103" s="251" t="s">
        <v>15</v>
      </c>
      <c r="C103" s="166">
        <f>'RETRIBUCIONES 2025'!$E$4</f>
        <v>861.46</v>
      </c>
      <c r="D103" s="166">
        <f t="shared" si="18"/>
        <v>10337.52</v>
      </c>
      <c r="E103" s="166">
        <f>'RETRIBUCIONES 2025'!$E$5*6</f>
        <v>189.18</v>
      </c>
      <c r="F103" s="177">
        <f t="shared" si="19"/>
        <v>2270.16</v>
      </c>
      <c r="G103" s="165" t="s">
        <v>58</v>
      </c>
      <c r="H103" s="166">
        <f>'RETRIBUCIONES 2025'!$J$14</f>
        <v>445.5</v>
      </c>
      <c r="I103" s="308">
        <f t="shared" si="20"/>
        <v>5346</v>
      </c>
      <c r="J103" s="166">
        <v>1018.7</v>
      </c>
      <c r="K103" s="308">
        <f t="shared" si="21"/>
        <v>12224.400000000001</v>
      </c>
      <c r="L103" s="201">
        <f t="shared" si="22"/>
        <v>2514.84</v>
      </c>
      <c r="M103" s="408">
        <f t="shared" si="23"/>
        <v>30178.080000000002</v>
      </c>
      <c r="N103" s="285">
        <f>'RETRIBUCIONES 2025'!$E$9</f>
        <v>744.56</v>
      </c>
      <c r="O103" s="166">
        <f>'RETRIBUCIONES 2025'!$E$10*6</f>
        <v>163.26</v>
      </c>
      <c r="P103" s="285">
        <f>SUM(N103:O103)</f>
        <v>907.81999999999994</v>
      </c>
      <c r="Q103" s="285">
        <f>H103</f>
        <v>445.5</v>
      </c>
      <c r="R103" s="285">
        <f>J103</f>
        <v>1018.7</v>
      </c>
      <c r="S103" s="285">
        <f>P103+Q103+R103</f>
        <v>2372.02</v>
      </c>
      <c r="T103" s="409">
        <f t="shared" si="15"/>
        <v>34922.120000000003</v>
      </c>
      <c r="U103" s="410">
        <f t="shared" si="16"/>
        <v>11524.299600000002</v>
      </c>
      <c r="V103" s="411">
        <f t="shared" si="17"/>
        <v>46446.419600000008</v>
      </c>
    </row>
    <row r="104" spans="1:22" s="1" customFormat="1" ht="16.5" x14ac:dyDescent="0.25">
      <c r="A104" s="454"/>
      <c r="B104" s="251"/>
      <c r="C104" s="166"/>
      <c r="D104" s="166"/>
      <c r="E104" s="166"/>
      <c r="F104" s="177"/>
      <c r="G104" s="165"/>
      <c r="H104" s="166"/>
      <c r="I104" s="308"/>
      <c r="J104" s="166"/>
      <c r="K104" s="308"/>
      <c r="L104" s="201"/>
      <c r="M104" s="408"/>
      <c r="N104" s="285"/>
      <c r="O104" s="285"/>
      <c r="P104" s="285"/>
      <c r="Q104" s="285"/>
      <c r="R104" s="285"/>
      <c r="S104" s="285"/>
      <c r="T104" s="409">
        <f t="shared" si="15"/>
        <v>0</v>
      </c>
      <c r="U104" s="410">
        <f t="shared" si="16"/>
        <v>0</v>
      </c>
      <c r="V104" s="411">
        <f t="shared" si="17"/>
        <v>0</v>
      </c>
    </row>
    <row r="105" spans="1:22" s="1" customFormat="1" ht="16.5" x14ac:dyDescent="0.25">
      <c r="A105" s="454" t="s">
        <v>233</v>
      </c>
      <c r="B105" s="251" t="s">
        <v>15</v>
      </c>
      <c r="C105" s="166">
        <f>'RETRIBUCIONES 2025'!$E$4</f>
        <v>861.46</v>
      </c>
      <c r="D105" s="166">
        <f t="shared" si="18"/>
        <v>10337.52</v>
      </c>
      <c r="E105" s="166">
        <v>0</v>
      </c>
      <c r="F105" s="177">
        <f t="shared" si="19"/>
        <v>0</v>
      </c>
      <c r="G105" s="165" t="s">
        <v>58</v>
      </c>
      <c r="H105" s="166">
        <f>'RETRIBUCIONES 2025'!$J$14</f>
        <v>445.5</v>
      </c>
      <c r="I105" s="308">
        <f t="shared" si="20"/>
        <v>5346</v>
      </c>
      <c r="J105" s="166">
        <v>1018.7</v>
      </c>
      <c r="K105" s="308">
        <f t="shared" si="21"/>
        <v>12224.400000000001</v>
      </c>
      <c r="L105" s="201">
        <f t="shared" si="22"/>
        <v>2325.66</v>
      </c>
      <c r="M105" s="408">
        <f t="shared" si="23"/>
        <v>27907.920000000002</v>
      </c>
      <c r="N105" s="285">
        <f>'RETRIBUCIONES 2025'!$E$9</f>
        <v>744.56</v>
      </c>
      <c r="O105" s="166">
        <v>0</v>
      </c>
      <c r="P105" s="285">
        <f>SUM(N105:O105)</f>
        <v>744.56</v>
      </c>
      <c r="Q105" s="285">
        <f>H105</f>
        <v>445.5</v>
      </c>
      <c r="R105" s="285">
        <f>J105</f>
        <v>1018.7</v>
      </c>
      <c r="S105" s="285">
        <f>P105+Q105+R105</f>
        <v>2208.7600000000002</v>
      </c>
      <c r="T105" s="409">
        <f t="shared" si="15"/>
        <v>32325.440000000002</v>
      </c>
      <c r="U105" s="410">
        <f t="shared" si="16"/>
        <v>10667.395200000001</v>
      </c>
      <c r="V105" s="411">
        <f t="shared" si="17"/>
        <v>42992.835200000001</v>
      </c>
    </row>
    <row r="106" spans="1:22" s="1" customFormat="1" ht="16.5" x14ac:dyDescent="0.25">
      <c r="A106" s="454"/>
      <c r="B106" s="251"/>
      <c r="C106" s="166"/>
      <c r="D106" s="166"/>
      <c r="E106" s="166"/>
      <c r="F106" s="177"/>
      <c r="G106" s="165"/>
      <c r="H106" s="166"/>
      <c r="I106" s="308"/>
      <c r="J106" s="166"/>
      <c r="K106" s="308"/>
      <c r="L106" s="201"/>
      <c r="M106" s="408"/>
      <c r="N106" s="285"/>
      <c r="O106" s="285"/>
      <c r="P106" s="285"/>
      <c r="Q106" s="285"/>
      <c r="R106" s="285"/>
      <c r="S106" s="285"/>
      <c r="T106" s="409">
        <f t="shared" si="15"/>
        <v>0</v>
      </c>
      <c r="U106" s="410">
        <f t="shared" si="16"/>
        <v>0</v>
      </c>
      <c r="V106" s="411">
        <f t="shared" si="17"/>
        <v>0</v>
      </c>
    </row>
    <row r="107" spans="1:22" s="1" customFormat="1" ht="16.5" x14ac:dyDescent="0.25">
      <c r="A107" s="454" t="s">
        <v>233</v>
      </c>
      <c r="B107" s="251" t="s">
        <v>15</v>
      </c>
      <c r="C107" s="166">
        <f>'RETRIBUCIONES 2025'!$E$4</f>
        <v>861.46</v>
      </c>
      <c r="D107" s="166">
        <f t="shared" si="18"/>
        <v>10337.52</v>
      </c>
      <c r="E107" s="166">
        <v>0</v>
      </c>
      <c r="F107" s="177">
        <f t="shared" si="19"/>
        <v>0</v>
      </c>
      <c r="G107" s="165" t="s">
        <v>58</v>
      </c>
      <c r="H107" s="166">
        <f>'RETRIBUCIONES 2025'!$J$14</f>
        <v>445.5</v>
      </c>
      <c r="I107" s="308">
        <f t="shared" si="20"/>
        <v>5346</v>
      </c>
      <c r="J107" s="166">
        <v>1018.7</v>
      </c>
      <c r="K107" s="308">
        <f t="shared" si="21"/>
        <v>12224.400000000001</v>
      </c>
      <c r="L107" s="201">
        <f t="shared" si="22"/>
        <v>2325.66</v>
      </c>
      <c r="M107" s="408">
        <f t="shared" si="23"/>
        <v>27907.920000000002</v>
      </c>
      <c r="N107" s="285">
        <f>'RETRIBUCIONES 2025'!$E$9</f>
        <v>744.56</v>
      </c>
      <c r="O107" s="166">
        <v>0</v>
      </c>
      <c r="P107" s="285">
        <f>SUM(N107:O107)</f>
        <v>744.56</v>
      </c>
      <c r="Q107" s="285">
        <f>H107</f>
        <v>445.5</v>
      </c>
      <c r="R107" s="285">
        <f>J107</f>
        <v>1018.7</v>
      </c>
      <c r="S107" s="285">
        <f>P107+Q107+R107</f>
        <v>2208.7600000000002</v>
      </c>
      <c r="T107" s="409">
        <f t="shared" si="15"/>
        <v>32325.440000000002</v>
      </c>
      <c r="U107" s="410">
        <f t="shared" si="16"/>
        <v>10667.395200000001</v>
      </c>
      <c r="V107" s="411">
        <f t="shared" si="17"/>
        <v>42992.835200000001</v>
      </c>
    </row>
    <row r="108" spans="1:22" s="1" customFormat="1" ht="16.5" x14ac:dyDescent="0.25">
      <c r="A108" s="458"/>
      <c r="B108" s="251"/>
      <c r="C108" s="206"/>
      <c r="D108" s="166"/>
      <c r="E108" s="166"/>
      <c r="F108" s="177"/>
      <c r="G108" s="165"/>
      <c r="H108" s="166"/>
      <c r="I108" s="308"/>
      <c r="J108" s="166"/>
      <c r="K108" s="308"/>
      <c r="L108" s="201"/>
      <c r="M108" s="408"/>
      <c r="N108" s="285"/>
      <c r="O108" s="285"/>
      <c r="P108" s="285"/>
      <c r="Q108" s="285"/>
      <c r="R108" s="285"/>
      <c r="S108" s="285"/>
      <c r="T108" s="409">
        <f t="shared" si="15"/>
        <v>0</v>
      </c>
      <c r="U108" s="410">
        <f t="shared" si="16"/>
        <v>0</v>
      </c>
      <c r="V108" s="411">
        <f t="shared" si="17"/>
        <v>0</v>
      </c>
    </row>
    <row r="109" spans="1:22" s="1" customFormat="1" ht="16.5" x14ac:dyDescent="0.25">
      <c r="A109" s="454" t="s">
        <v>233</v>
      </c>
      <c r="B109" s="251" t="s">
        <v>15</v>
      </c>
      <c r="C109" s="166">
        <f>'RETRIBUCIONES 2025'!$E$4</f>
        <v>861.46</v>
      </c>
      <c r="D109" s="166">
        <f t="shared" si="18"/>
        <v>10337.52</v>
      </c>
      <c r="E109" s="166">
        <f>'RETRIBUCIONES 2025'!E5</f>
        <v>31.53</v>
      </c>
      <c r="F109" s="177">
        <f t="shared" si="19"/>
        <v>378.36</v>
      </c>
      <c r="G109" s="165" t="s">
        <v>58</v>
      </c>
      <c r="H109" s="166">
        <f>'RETRIBUCIONES 2025'!$J$14</f>
        <v>445.5</v>
      </c>
      <c r="I109" s="308">
        <f t="shared" si="20"/>
        <v>5346</v>
      </c>
      <c r="J109" s="166">
        <v>1018.7</v>
      </c>
      <c r="K109" s="308">
        <f t="shared" si="21"/>
        <v>12224.400000000001</v>
      </c>
      <c r="L109" s="201">
        <f t="shared" si="22"/>
        <v>2357.19</v>
      </c>
      <c r="M109" s="408">
        <f t="shared" si="23"/>
        <v>28286.280000000002</v>
      </c>
      <c r="N109" s="285">
        <f>'RETRIBUCIONES 2025'!$E$9</f>
        <v>744.56</v>
      </c>
      <c r="O109" s="285">
        <f>'RETRIBUCIONES 2025'!E10</f>
        <v>27.21</v>
      </c>
      <c r="P109" s="285">
        <f>SUM(N109:O109)</f>
        <v>771.77</v>
      </c>
      <c r="Q109" s="285">
        <f>H109</f>
        <v>445.5</v>
      </c>
      <c r="R109" s="285">
        <f>J109</f>
        <v>1018.7</v>
      </c>
      <c r="S109" s="285">
        <f>P109+Q109+R109</f>
        <v>2235.9700000000003</v>
      </c>
      <c r="T109" s="409">
        <f t="shared" si="15"/>
        <v>32758.22</v>
      </c>
      <c r="U109" s="410">
        <f t="shared" si="16"/>
        <v>10810.212600000001</v>
      </c>
      <c r="V109" s="411">
        <f t="shared" si="17"/>
        <v>43568.4326</v>
      </c>
    </row>
    <row r="110" spans="1:22" s="1" customFormat="1" ht="16.5" customHeight="1" x14ac:dyDescent="0.25">
      <c r="A110" s="458"/>
      <c r="B110" s="251"/>
      <c r="C110" s="206"/>
      <c r="D110" s="166"/>
      <c r="E110" s="166"/>
      <c r="F110" s="177"/>
      <c r="G110" s="165"/>
      <c r="H110" s="166"/>
      <c r="I110" s="308"/>
      <c r="J110" s="166"/>
      <c r="K110" s="308"/>
      <c r="L110" s="201"/>
      <c r="M110" s="408"/>
      <c r="N110" s="285"/>
      <c r="O110" s="285"/>
      <c r="P110" s="285"/>
      <c r="Q110" s="285"/>
      <c r="R110" s="285"/>
      <c r="S110" s="285"/>
      <c r="T110" s="409">
        <f t="shared" si="15"/>
        <v>0</v>
      </c>
      <c r="U110" s="410">
        <f t="shared" si="16"/>
        <v>0</v>
      </c>
      <c r="V110" s="411">
        <f t="shared" si="17"/>
        <v>0</v>
      </c>
    </row>
    <row r="111" spans="1:22" s="1" customFormat="1" ht="16.5" x14ac:dyDescent="0.25">
      <c r="A111" s="454" t="s">
        <v>233</v>
      </c>
      <c r="B111" s="251" t="s">
        <v>15</v>
      </c>
      <c r="C111" s="166">
        <f>'RETRIBUCIONES 2025'!$E$4</f>
        <v>861.46</v>
      </c>
      <c r="D111" s="166">
        <f t="shared" si="18"/>
        <v>10337.52</v>
      </c>
      <c r="E111" s="166">
        <f>'RETRIBUCIONES 2025'!E5</f>
        <v>31.53</v>
      </c>
      <c r="F111" s="177">
        <f t="shared" si="19"/>
        <v>378.36</v>
      </c>
      <c r="G111" s="165" t="s">
        <v>51</v>
      </c>
      <c r="H111" s="166">
        <f>'RETRIBUCIONES 2025'!$K$14</f>
        <v>472.37</v>
      </c>
      <c r="I111" s="308">
        <f t="shared" si="20"/>
        <v>5668.4400000000005</v>
      </c>
      <c r="J111" s="166">
        <v>1018.7</v>
      </c>
      <c r="K111" s="308">
        <f t="shared" si="21"/>
        <v>12224.400000000001</v>
      </c>
      <c r="L111" s="201">
        <f t="shared" si="22"/>
        <v>2384.0600000000004</v>
      </c>
      <c r="M111" s="408">
        <f t="shared" si="23"/>
        <v>28608.720000000001</v>
      </c>
      <c r="N111" s="285">
        <f>'RETRIBUCIONES 2025'!$E$9</f>
        <v>744.56</v>
      </c>
      <c r="O111" s="166">
        <f>'RETRIBUCIONES 2025'!E10</f>
        <v>27.21</v>
      </c>
      <c r="P111" s="285">
        <f>SUM(N111:O111)</f>
        <v>771.77</v>
      </c>
      <c r="Q111" s="285">
        <f>H111</f>
        <v>472.37</v>
      </c>
      <c r="R111" s="285">
        <f>J111</f>
        <v>1018.7</v>
      </c>
      <c r="S111" s="285">
        <f>P111+Q111+R111</f>
        <v>2262.84</v>
      </c>
      <c r="T111" s="409">
        <f t="shared" si="15"/>
        <v>33134.400000000001</v>
      </c>
      <c r="U111" s="410">
        <f t="shared" si="16"/>
        <v>10934.352000000001</v>
      </c>
      <c r="V111" s="411">
        <f t="shared" si="17"/>
        <v>44068.752</v>
      </c>
    </row>
    <row r="112" spans="1:22" s="1" customFormat="1" ht="16.5" x14ac:dyDescent="0.25">
      <c r="A112" s="454"/>
      <c r="B112" s="251"/>
      <c r="C112" s="166"/>
      <c r="D112" s="166"/>
      <c r="E112" s="166"/>
      <c r="F112" s="177"/>
      <c r="G112" s="165"/>
      <c r="H112" s="166"/>
      <c r="I112" s="308"/>
      <c r="J112" s="166"/>
      <c r="K112" s="308"/>
      <c r="L112" s="201"/>
      <c r="M112" s="408"/>
      <c r="N112" s="285"/>
      <c r="O112" s="285"/>
      <c r="P112" s="285"/>
      <c r="Q112" s="285"/>
      <c r="R112" s="285"/>
      <c r="S112" s="285"/>
      <c r="T112" s="409">
        <f t="shared" si="15"/>
        <v>0</v>
      </c>
      <c r="U112" s="410">
        <f t="shared" si="16"/>
        <v>0</v>
      </c>
      <c r="V112" s="411">
        <f t="shared" si="17"/>
        <v>0</v>
      </c>
    </row>
    <row r="113" spans="1:22" s="1" customFormat="1" ht="16.5" x14ac:dyDescent="0.25">
      <c r="A113" s="454" t="s">
        <v>233</v>
      </c>
      <c r="B113" s="251" t="s">
        <v>15</v>
      </c>
      <c r="C113" s="166">
        <f>'RETRIBUCIONES 2025'!$E$4</f>
        <v>861.46</v>
      </c>
      <c r="D113" s="166">
        <f t="shared" si="18"/>
        <v>10337.52</v>
      </c>
      <c r="E113" s="166">
        <f>'RETRIBUCIONES 2025'!$E$5*6</f>
        <v>189.18</v>
      </c>
      <c r="F113" s="177">
        <f t="shared" si="19"/>
        <v>2270.16</v>
      </c>
      <c r="G113" s="165" t="s">
        <v>58</v>
      </c>
      <c r="H113" s="166">
        <f>'RETRIBUCIONES 2025'!$J$14</f>
        <v>445.5</v>
      </c>
      <c r="I113" s="308">
        <f t="shared" si="20"/>
        <v>5346</v>
      </c>
      <c r="J113" s="166">
        <v>1018.7</v>
      </c>
      <c r="K113" s="308">
        <f t="shared" si="21"/>
        <v>12224.400000000001</v>
      </c>
      <c r="L113" s="201">
        <f t="shared" si="22"/>
        <v>2514.84</v>
      </c>
      <c r="M113" s="408">
        <f t="shared" si="23"/>
        <v>30178.080000000002</v>
      </c>
      <c r="N113" s="285">
        <f>'RETRIBUCIONES 2025'!$E$9</f>
        <v>744.56</v>
      </c>
      <c r="O113" s="166">
        <f>'RETRIBUCIONES 2025'!$E$10*6</f>
        <v>163.26</v>
      </c>
      <c r="P113" s="285">
        <f>SUM(N113:O113)</f>
        <v>907.81999999999994</v>
      </c>
      <c r="Q113" s="285">
        <f>H113</f>
        <v>445.5</v>
      </c>
      <c r="R113" s="285">
        <f>J113</f>
        <v>1018.7</v>
      </c>
      <c r="S113" s="285">
        <f>P113+Q113+R113</f>
        <v>2372.02</v>
      </c>
      <c r="T113" s="409">
        <f t="shared" si="15"/>
        <v>34922.120000000003</v>
      </c>
      <c r="U113" s="410">
        <f t="shared" si="16"/>
        <v>11524.299600000002</v>
      </c>
      <c r="V113" s="411">
        <f t="shared" si="17"/>
        <v>46446.419600000008</v>
      </c>
    </row>
    <row r="114" spans="1:22" s="1" customFormat="1" ht="16.5" x14ac:dyDescent="0.25">
      <c r="A114" s="454"/>
      <c r="B114" s="251"/>
      <c r="C114" s="166"/>
      <c r="D114" s="166"/>
      <c r="E114" s="166"/>
      <c r="F114" s="177"/>
      <c r="G114" s="165"/>
      <c r="H114" s="166"/>
      <c r="I114" s="308"/>
      <c r="J114" s="166"/>
      <c r="K114" s="308"/>
      <c r="L114" s="201"/>
      <c r="M114" s="408"/>
      <c r="N114" s="285"/>
      <c r="O114" s="285"/>
      <c r="P114" s="285"/>
      <c r="Q114" s="285"/>
      <c r="R114" s="285"/>
      <c r="S114" s="285"/>
      <c r="T114" s="409">
        <f t="shared" si="15"/>
        <v>0</v>
      </c>
      <c r="U114" s="410">
        <f t="shared" si="16"/>
        <v>0</v>
      </c>
      <c r="V114" s="411">
        <f t="shared" si="17"/>
        <v>0</v>
      </c>
    </row>
    <row r="115" spans="1:22" s="1" customFormat="1" ht="16.5" x14ac:dyDescent="0.25">
      <c r="A115" s="454" t="s">
        <v>233</v>
      </c>
      <c r="B115" s="251" t="s">
        <v>15</v>
      </c>
      <c r="C115" s="166">
        <f>'RETRIBUCIONES 2025'!$E$4</f>
        <v>861.46</v>
      </c>
      <c r="D115" s="166">
        <f t="shared" si="18"/>
        <v>10337.52</v>
      </c>
      <c r="E115" s="166">
        <v>0</v>
      </c>
      <c r="F115" s="177">
        <f t="shared" si="19"/>
        <v>0</v>
      </c>
      <c r="G115" s="165" t="s">
        <v>58</v>
      </c>
      <c r="H115" s="166">
        <f>'RETRIBUCIONES 2025'!$J$14</f>
        <v>445.5</v>
      </c>
      <c r="I115" s="308">
        <f t="shared" si="20"/>
        <v>5346</v>
      </c>
      <c r="J115" s="166">
        <v>1018.7</v>
      </c>
      <c r="K115" s="308">
        <f t="shared" si="21"/>
        <v>12224.400000000001</v>
      </c>
      <c r="L115" s="201">
        <f t="shared" si="22"/>
        <v>2325.66</v>
      </c>
      <c r="M115" s="408">
        <f t="shared" si="23"/>
        <v>27907.920000000002</v>
      </c>
      <c r="N115" s="285">
        <f>'RETRIBUCIONES 2025'!$E$9</f>
        <v>744.56</v>
      </c>
      <c r="O115" s="285">
        <v>0</v>
      </c>
      <c r="P115" s="285">
        <f>SUM(N115:O115)</f>
        <v>744.56</v>
      </c>
      <c r="Q115" s="285">
        <f>H115</f>
        <v>445.5</v>
      </c>
      <c r="R115" s="285">
        <f>J115</f>
        <v>1018.7</v>
      </c>
      <c r="S115" s="285">
        <f>P115+Q115+R115</f>
        <v>2208.7600000000002</v>
      </c>
      <c r="T115" s="409">
        <f t="shared" si="15"/>
        <v>32325.440000000002</v>
      </c>
      <c r="U115" s="410">
        <f t="shared" si="16"/>
        <v>10667.395200000001</v>
      </c>
      <c r="V115" s="411">
        <f t="shared" si="17"/>
        <v>42992.835200000001</v>
      </c>
    </row>
    <row r="116" spans="1:22" s="1" customFormat="1" ht="16.5" x14ac:dyDescent="0.25">
      <c r="A116" s="454"/>
      <c r="B116" s="251"/>
      <c r="C116" s="166"/>
      <c r="D116" s="166"/>
      <c r="E116" s="166"/>
      <c r="F116" s="177"/>
      <c r="G116" s="165"/>
      <c r="H116" s="166"/>
      <c r="I116" s="308"/>
      <c r="J116" s="166"/>
      <c r="K116" s="308"/>
      <c r="L116" s="201"/>
      <c r="M116" s="408"/>
      <c r="N116" s="285"/>
      <c r="O116" s="285"/>
      <c r="P116" s="285"/>
      <c r="Q116" s="285"/>
      <c r="R116" s="285"/>
      <c r="S116" s="285"/>
      <c r="T116" s="409">
        <f t="shared" si="15"/>
        <v>0</v>
      </c>
      <c r="U116" s="410">
        <f t="shared" si="16"/>
        <v>0</v>
      </c>
      <c r="V116" s="411">
        <f t="shared" si="17"/>
        <v>0</v>
      </c>
    </row>
    <row r="117" spans="1:22" s="1" customFormat="1" ht="16.5" x14ac:dyDescent="0.25">
      <c r="A117" s="455" t="s">
        <v>20</v>
      </c>
      <c r="B117" s="255"/>
      <c r="C117" s="183">
        <f>SUM(C71:C116)</f>
        <v>19813.579999999991</v>
      </c>
      <c r="D117" s="184">
        <f t="shared" si="18"/>
        <v>237762.9599999999</v>
      </c>
      <c r="E117" s="183">
        <f>SUM(E71:E116)</f>
        <v>3071.1200000000008</v>
      </c>
      <c r="F117" s="185">
        <f t="shared" si="19"/>
        <v>36853.44000000001</v>
      </c>
      <c r="G117" s="203"/>
      <c r="H117" s="183">
        <f>SUM(H71:H116)</f>
        <v>10501.69</v>
      </c>
      <c r="I117" s="412">
        <f t="shared" si="20"/>
        <v>126020.28</v>
      </c>
      <c r="J117" s="183">
        <f>SUM(J71:J116)</f>
        <v>23430.100000000009</v>
      </c>
      <c r="K117" s="412">
        <f t="shared" si="21"/>
        <v>281161.20000000013</v>
      </c>
      <c r="L117" s="204">
        <f t="shared" si="22"/>
        <v>56816.490000000005</v>
      </c>
      <c r="M117" s="393">
        <f t="shared" si="23"/>
        <v>681797.88000000012</v>
      </c>
      <c r="N117" s="183">
        <f t="shared" ref="N117:O117" si="26">SUM(N71:N116)</f>
        <v>17124.879999999994</v>
      </c>
      <c r="O117" s="395">
        <f t="shared" si="26"/>
        <v>2663.9400000000005</v>
      </c>
      <c r="P117" s="395">
        <f>SUM(N117:O117)</f>
        <v>19788.819999999992</v>
      </c>
      <c r="Q117" s="392">
        <f>H117</f>
        <v>10501.69</v>
      </c>
      <c r="R117" s="392">
        <f>J117</f>
        <v>23430.100000000009</v>
      </c>
      <c r="S117" s="392">
        <f>P117+Q117+R117</f>
        <v>53720.61</v>
      </c>
      <c r="T117" s="413">
        <f t="shared" si="15"/>
        <v>789239.10000000009</v>
      </c>
      <c r="U117" s="414">
        <f t="shared" si="16"/>
        <v>260448.90300000005</v>
      </c>
      <c r="V117" s="415">
        <f t="shared" si="17"/>
        <v>1049688.003</v>
      </c>
    </row>
    <row r="118" spans="1:22" s="1" customFormat="1" ht="16.5" x14ac:dyDescent="0.25">
      <c r="A118" s="454"/>
      <c r="B118" s="251"/>
      <c r="C118" s="166"/>
      <c r="D118" s="166"/>
      <c r="E118" s="166"/>
      <c r="F118" s="177"/>
      <c r="G118" s="165"/>
      <c r="H118" s="166"/>
      <c r="I118" s="308"/>
      <c r="J118" s="166"/>
      <c r="K118" s="308"/>
      <c r="L118" s="201"/>
      <c r="M118" s="408"/>
      <c r="N118" s="285"/>
      <c r="O118" s="285"/>
      <c r="P118" s="285"/>
      <c r="Q118" s="285"/>
      <c r="R118" s="285">
        <f t="shared" ref="R118:R119" si="27">K118</f>
        <v>0</v>
      </c>
      <c r="S118" s="285"/>
      <c r="T118" s="409">
        <f t="shared" ref="T118:T119" si="28">M118+S118*2</f>
        <v>0</v>
      </c>
      <c r="U118" s="410">
        <f t="shared" ref="U118:U119" si="29">T118*0.33</f>
        <v>0</v>
      </c>
      <c r="V118" s="411">
        <f t="shared" ref="V118:V119" si="30">T118+U118</f>
        <v>0</v>
      </c>
    </row>
    <row r="119" spans="1:22" s="1" customFormat="1" ht="16.5" x14ac:dyDescent="0.25">
      <c r="A119" s="456" t="s">
        <v>24</v>
      </c>
      <c r="B119" s="257"/>
      <c r="C119" s="190">
        <f>C55+C69+C117</f>
        <v>26978.569999999992</v>
      </c>
      <c r="D119" s="191">
        <f t="shared" si="18"/>
        <v>323742.83999999991</v>
      </c>
      <c r="E119" s="190">
        <f>E55+E69+E117</f>
        <v>4006.8500000000008</v>
      </c>
      <c r="F119" s="192">
        <f t="shared" ref="F119" si="31">E119*12</f>
        <v>48082.200000000012</v>
      </c>
      <c r="G119" s="207"/>
      <c r="H119" s="190">
        <f>H55+H69+H117</f>
        <v>14087.06</v>
      </c>
      <c r="I119" s="416">
        <f t="shared" ref="I119" si="32">H119*12</f>
        <v>169044.72</v>
      </c>
      <c r="J119" s="190"/>
      <c r="K119" s="416">
        <f t="shared" ref="K119" si="33">J119*12</f>
        <v>0</v>
      </c>
      <c r="L119" s="208">
        <f t="shared" ref="L119" si="34">C119+E119+H119+J119</f>
        <v>45072.479999999996</v>
      </c>
      <c r="M119" s="401">
        <f t="shared" ref="M119" si="35">D119+F119+I119+K119</f>
        <v>540869.75999999989</v>
      </c>
      <c r="N119" s="190">
        <f t="shared" ref="N119:O119" si="36">N55+N69+N117</f>
        <v>23162.699999999993</v>
      </c>
      <c r="O119" s="399">
        <f t="shared" si="36"/>
        <v>3479.8900000000003</v>
      </c>
      <c r="P119" s="399">
        <f>SUM(N119:O119)</f>
        <v>26642.589999999993</v>
      </c>
      <c r="Q119" s="400">
        <f>H119</f>
        <v>14087.06</v>
      </c>
      <c r="R119" s="400">
        <f t="shared" si="27"/>
        <v>0</v>
      </c>
      <c r="S119" s="400">
        <f>P119+Q119+R119</f>
        <v>40729.649999999994</v>
      </c>
      <c r="T119" s="417">
        <f t="shared" si="28"/>
        <v>622329.05999999982</v>
      </c>
      <c r="U119" s="418">
        <f t="shared" si="29"/>
        <v>205368.58979999996</v>
      </c>
      <c r="V119" s="419">
        <f t="shared" si="30"/>
        <v>827697.64979999978</v>
      </c>
    </row>
    <row r="120" spans="1:22" s="1" customFormat="1" ht="17.25" thickBot="1" x14ac:dyDescent="0.3">
      <c r="A120" s="459"/>
      <c r="B120" s="288"/>
      <c r="C120" s="194" t="s">
        <v>128</v>
      </c>
      <c r="D120" s="194"/>
      <c r="E120" s="194" t="s">
        <v>129</v>
      </c>
      <c r="F120" s="195"/>
      <c r="G120" s="194"/>
      <c r="H120" s="194"/>
      <c r="I120" s="194" t="s">
        <v>130</v>
      </c>
      <c r="J120" s="194"/>
      <c r="K120" s="194" t="s">
        <v>131</v>
      </c>
      <c r="L120" s="209"/>
      <c r="M120" s="403"/>
      <c r="N120" s="194"/>
      <c r="O120" s="194"/>
      <c r="P120" s="194" t="s">
        <v>128</v>
      </c>
      <c r="Q120" s="194" t="s">
        <v>130</v>
      </c>
      <c r="R120" s="194" t="s">
        <v>131</v>
      </c>
      <c r="S120" s="291"/>
      <c r="T120" s="420"/>
      <c r="U120" s="421"/>
      <c r="V120" s="422"/>
    </row>
    <row r="121" spans="1:22" s="1" customFormat="1" ht="15" customHeight="1" x14ac:dyDescent="0.25">
      <c r="A121" s="454"/>
      <c r="B121" s="293"/>
      <c r="C121" s="166"/>
      <c r="D121" s="166"/>
      <c r="E121" s="166"/>
      <c r="F121" s="166"/>
      <c r="G121" s="164"/>
      <c r="H121" s="165"/>
      <c r="I121" s="166"/>
      <c r="J121" s="166"/>
      <c r="K121" s="166"/>
      <c r="L121" s="166"/>
      <c r="M121" s="285"/>
      <c r="N121" s="285"/>
      <c r="O121" s="294"/>
      <c r="P121" s="294"/>
      <c r="Q121" s="285"/>
      <c r="R121" s="285"/>
      <c r="S121" s="285"/>
      <c r="T121" s="285"/>
      <c r="U121" s="285"/>
      <c r="V121" s="281"/>
    </row>
    <row r="122" spans="1:22" s="1" customFormat="1" ht="15" customHeight="1" x14ac:dyDescent="0.25">
      <c r="A122" s="454"/>
      <c r="B122" s="293"/>
      <c r="C122" s="166"/>
      <c r="D122" s="166"/>
      <c r="E122" s="166"/>
      <c r="F122" s="188"/>
      <c r="G122" s="210"/>
      <c r="H122" s="165"/>
      <c r="I122" s="166"/>
      <c r="J122" s="166"/>
      <c r="K122" s="166"/>
      <c r="L122" s="166"/>
      <c r="M122" s="294"/>
      <c r="N122" s="294"/>
      <c r="O122" s="294"/>
      <c r="P122" s="294"/>
      <c r="Q122" s="285"/>
      <c r="R122" s="285"/>
      <c r="S122" s="285"/>
      <c r="T122" s="285"/>
      <c r="U122" s="285"/>
      <c r="V122" s="281"/>
    </row>
    <row r="123" spans="1:22" s="1" customFormat="1" ht="15" customHeight="1" thickBot="1" x14ac:dyDescent="0.3">
      <c r="A123" s="454"/>
      <c r="B123" s="293"/>
      <c r="C123" s="166"/>
      <c r="D123" s="166"/>
      <c r="E123" s="166"/>
      <c r="F123" s="188"/>
      <c r="G123" s="210"/>
      <c r="H123" s="165"/>
      <c r="I123" s="166"/>
      <c r="J123" s="166"/>
      <c r="K123" s="166"/>
      <c r="L123" s="166"/>
      <c r="M123" s="294"/>
      <c r="N123" s="294"/>
      <c r="O123" s="294"/>
      <c r="P123" s="294"/>
      <c r="Q123" s="285"/>
      <c r="R123" s="285"/>
      <c r="S123" s="285"/>
      <c r="T123" s="285"/>
      <c r="U123" s="285"/>
      <c r="V123" s="281"/>
    </row>
    <row r="124" spans="1:22" s="1" customFormat="1" ht="16.5" x14ac:dyDescent="0.25">
      <c r="A124" s="543" t="s">
        <v>25</v>
      </c>
      <c r="B124" s="544"/>
      <c r="C124" s="544"/>
      <c r="D124" s="544"/>
      <c r="E124" s="544"/>
      <c r="F124" s="544"/>
      <c r="G124" s="544"/>
      <c r="H124" s="544"/>
      <c r="I124" s="544"/>
      <c r="J124" s="544"/>
      <c r="K124" s="544"/>
      <c r="L124" s="544"/>
      <c r="M124" s="544"/>
      <c r="N124" s="544"/>
      <c r="O124" s="544"/>
      <c r="P124" s="544"/>
      <c r="Q124" s="544"/>
      <c r="R124" s="544"/>
      <c r="S124" s="544"/>
      <c r="T124" s="544"/>
      <c r="U124" s="544"/>
      <c r="V124" s="545"/>
    </row>
    <row r="125" spans="1:22" s="1" customFormat="1" ht="17.25" thickBot="1" x14ac:dyDescent="0.25">
      <c r="A125" s="540">
        <v>3231</v>
      </c>
      <c r="B125" s="541"/>
      <c r="C125" s="541"/>
      <c r="D125" s="541"/>
      <c r="E125" s="541"/>
      <c r="F125" s="541"/>
      <c r="G125" s="541"/>
      <c r="H125" s="541"/>
      <c r="I125" s="541"/>
      <c r="J125" s="541"/>
      <c r="K125" s="541"/>
      <c r="L125" s="541"/>
      <c r="M125" s="541"/>
      <c r="N125" s="541"/>
      <c r="O125" s="541"/>
      <c r="P125" s="541"/>
      <c r="Q125" s="541"/>
      <c r="R125" s="541"/>
      <c r="S125" s="541"/>
      <c r="T125" s="541"/>
      <c r="U125" s="541"/>
      <c r="V125" s="542"/>
    </row>
    <row r="126" spans="1:22" s="1" customFormat="1" ht="16.5" x14ac:dyDescent="0.25">
      <c r="A126" s="211"/>
      <c r="B126" s="169"/>
      <c r="C126" s="167"/>
      <c r="D126" s="167" t="s">
        <v>117</v>
      </c>
      <c r="E126" s="167"/>
      <c r="F126" s="168">
        <v>12006</v>
      </c>
      <c r="G126" s="169"/>
      <c r="H126" s="167">
        <v>12100</v>
      </c>
      <c r="I126" s="167">
        <v>12100</v>
      </c>
      <c r="J126" s="167">
        <v>12101</v>
      </c>
      <c r="K126" s="168">
        <v>12101</v>
      </c>
      <c r="L126" s="199"/>
      <c r="M126" s="385"/>
      <c r="N126" s="169"/>
      <c r="O126" s="167"/>
      <c r="P126" s="167">
        <v>120</v>
      </c>
      <c r="Q126" s="167">
        <v>12100</v>
      </c>
      <c r="R126" s="167">
        <v>12101</v>
      </c>
      <c r="S126" s="168"/>
      <c r="T126" s="167"/>
      <c r="U126" s="296"/>
      <c r="V126" s="406"/>
    </row>
    <row r="127" spans="1:22" s="1" customFormat="1" ht="16.5" x14ac:dyDescent="0.25">
      <c r="A127" s="198"/>
      <c r="B127" s="510" t="s">
        <v>123</v>
      </c>
      <c r="C127" s="511"/>
      <c r="D127" s="511"/>
      <c r="E127" s="511"/>
      <c r="F127" s="512"/>
      <c r="G127" s="574" t="s">
        <v>124</v>
      </c>
      <c r="H127" s="513"/>
      <c r="I127" s="513"/>
      <c r="J127" s="513"/>
      <c r="K127" s="575"/>
      <c r="L127" s="564" t="s">
        <v>132</v>
      </c>
      <c r="M127" s="565" t="s">
        <v>133</v>
      </c>
      <c r="N127" s="578" t="s">
        <v>2</v>
      </c>
      <c r="O127" s="566"/>
      <c r="P127" s="566"/>
      <c r="Q127" s="566"/>
      <c r="R127" s="566"/>
      <c r="S127" s="573"/>
      <c r="T127" s="279"/>
      <c r="U127" s="280"/>
      <c r="V127" s="407"/>
    </row>
    <row r="128" spans="1:22" s="1" customFormat="1" ht="33.75" thickBot="1" x14ac:dyDescent="0.25">
      <c r="A128" s="212"/>
      <c r="B128" s="268" t="s">
        <v>6</v>
      </c>
      <c r="C128" s="173" t="s">
        <v>144</v>
      </c>
      <c r="D128" s="173" t="s">
        <v>139</v>
      </c>
      <c r="E128" s="173" t="s">
        <v>145</v>
      </c>
      <c r="F128" s="174" t="s">
        <v>140</v>
      </c>
      <c r="G128" s="175" t="s">
        <v>9</v>
      </c>
      <c r="H128" s="173" t="s">
        <v>136</v>
      </c>
      <c r="I128" s="173" t="s">
        <v>135</v>
      </c>
      <c r="J128" s="173" t="s">
        <v>134</v>
      </c>
      <c r="K128" s="174" t="s">
        <v>137</v>
      </c>
      <c r="L128" s="552"/>
      <c r="M128" s="554"/>
      <c r="N128" s="268" t="s">
        <v>10</v>
      </c>
      <c r="O128" s="173" t="s">
        <v>11</v>
      </c>
      <c r="P128" s="173" t="s">
        <v>120</v>
      </c>
      <c r="Q128" s="173" t="s">
        <v>122</v>
      </c>
      <c r="R128" s="173" t="s">
        <v>121</v>
      </c>
      <c r="S128" s="174" t="s">
        <v>116</v>
      </c>
      <c r="T128" s="283" t="s">
        <v>141</v>
      </c>
      <c r="U128" s="173" t="s">
        <v>143</v>
      </c>
      <c r="V128" s="176" t="s">
        <v>142</v>
      </c>
    </row>
    <row r="129" spans="1:22" s="1" customFormat="1" ht="16.5" x14ac:dyDescent="0.2">
      <c r="A129" s="213"/>
      <c r="B129" s="269"/>
      <c r="C129" s="214"/>
      <c r="D129" s="214"/>
      <c r="E129" s="214"/>
      <c r="F129" s="215"/>
      <c r="G129" s="216"/>
      <c r="H129" s="217"/>
      <c r="I129" s="214"/>
      <c r="J129" s="214"/>
      <c r="K129" s="215"/>
      <c r="L129" s="218"/>
      <c r="M129" s="423"/>
      <c r="N129" s="269"/>
      <c r="O129" s="284"/>
      <c r="P129" s="284"/>
      <c r="Q129" s="214"/>
      <c r="R129" s="214"/>
      <c r="S129" s="215"/>
      <c r="T129" s="214"/>
      <c r="U129" s="214"/>
      <c r="V129" s="424"/>
    </row>
    <row r="130" spans="1:22" s="33" customFormat="1" ht="18" x14ac:dyDescent="0.25">
      <c r="A130" s="454" t="s">
        <v>234</v>
      </c>
      <c r="B130" s="251" t="s">
        <v>26</v>
      </c>
      <c r="C130" s="166">
        <f>'RETRIBUCIONES 2025'!$G$4</f>
        <v>656.23</v>
      </c>
      <c r="D130" s="166">
        <f>C130*12</f>
        <v>7874.76</v>
      </c>
      <c r="E130" s="166">
        <f>'RETRIBUCIONES 2025'!G5</f>
        <v>16.16</v>
      </c>
      <c r="F130" s="177">
        <f>E130*12</f>
        <v>193.92000000000002</v>
      </c>
      <c r="G130" s="220">
        <v>14</v>
      </c>
      <c r="H130" s="166">
        <f>'RETRIBUCIONES 2025'!$G$14</f>
        <v>364.97</v>
      </c>
      <c r="I130" s="166">
        <f>H130*12</f>
        <v>4379.6400000000003</v>
      </c>
      <c r="J130" s="166">
        <v>398.57</v>
      </c>
      <c r="K130" s="281">
        <f>J130*12</f>
        <v>4782.84</v>
      </c>
      <c r="L130" s="201">
        <f>C130+E130+H130+J130</f>
        <v>1435.93</v>
      </c>
      <c r="M130" s="408">
        <f>D130+F130+I130+K130</f>
        <v>17231.16</v>
      </c>
      <c r="N130" s="219">
        <f>'RETRIBUCIONES 2025'!$G$9</f>
        <v>656.23</v>
      </c>
      <c r="O130" s="285">
        <f>'RETRIBUCIONES 2025'!G10</f>
        <v>16.16</v>
      </c>
      <c r="P130" s="285">
        <f>SUM(N130:O130)</f>
        <v>672.39</v>
      </c>
      <c r="Q130" s="285">
        <f>'RETRIBUCIONES 2025'!G14</f>
        <v>364.97</v>
      </c>
      <c r="R130" s="285">
        <f>J130</f>
        <v>398.57</v>
      </c>
      <c r="S130" s="281">
        <f>SUM(N130:R130)</f>
        <v>2108.3200000000002</v>
      </c>
      <c r="T130" s="285">
        <f>M130+S130*2</f>
        <v>21447.8</v>
      </c>
      <c r="U130" s="285">
        <f>T130*0.33</f>
        <v>7077.7740000000003</v>
      </c>
      <c r="V130" s="407">
        <f>SUM(T130:U130)</f>
        <v>28525.574000000001</v>
      </c>
    </row>
    <row r="131" spans="1:22" s="1" customFormat="1" ht="16.5" x14ac:dyDescent="0.25">
      <c r="A131" s="454"/>
      <c r="B131" s="251"/>
      <c r="C131" s="166"/>
      <c r="D131" s="166"/>
      <c r="E131" s="166"/>
      <c r="F131" s="177"/>
      <c r="G131" s="178"/>
      <c r="H131" s="165"/>
      <c r="I131" s="166"/>
      <c r="J131" s="166"/>
      <c r="K131" s="177"/>
      <c r="L131" s="201"/>
      <c r="M131" s="408"/>
      <c r="N131" s="219"/>
      <c r="O131" s="294"/>
      <c r="P131" s="294"/>
      <c r="Q131" s="285"/>
      <c r="R131" s="285"/>
      <c r="S131" s="281"/>
      <c r="T131" s="285"/>
      <c r="U131" s="285"/>
      <c r="V131" s="407"/>
    </row>
    <row r="132" spans="1:22" s="27" customFormat="1" ht="14.45" customHeight="1" x14ac:dyDescent="0.25">
      <c r="A132" s="456" t="s">
        <v>71</v>
      </c>
      <c r="B132" s="257"/>
      <c r="C132" s="190">
        <f>SUM(C130:C131)</f>
        <v>656.23</v>
      </c>
      <c r="D132" s="190">
        <f t="shared" ref="D132:V132" si="37">SUM(D130:D131)</f>
        <v>7874.76</v>
      </c>
      <c r="E132" s="190">
        <f t="shared" si="37"/>
        <v>16.16</v>
      </c>
      <c r="F132" s="221">
        <f t="shared" si="37"/>
        <v>193.92000000000002</v>
      </c>
      <c r="G132" s="222"/>
      <c r="H132" s="190">
        <f t="shared" si="37"/>
        <v>364.97</v>
      </c>
      <c r="I132" s="190">
        <f t="shared" si="37"/>
        <v>4379.6400000000003</v>
      </c>
      <c r="J132" s="190">
        <f t="shared" si="37"/>
        <v>398.57</v>
      </c>
      <c r="K132" s="221">
        <f t="shared" si="37"/>
        <v>4782.84</v>
      </c>
      <c r="L132" s="222">
        <f t="shared" si="37"/>
        <v>1435.93</v>
      </c>
      <c r="M132" s="221">
        <f t="shared" si="37"/>
        <v>17231.16</v>
      </c>
      <c r="N132" s="222">
        <f>SUM(N130:N131)</f>
        <v>656.23</v>
      </c>
      <c r="O132" s="190">
        <f>SUM(O130:O131)</f>
        <v>16.16</v>
      </c>
      <c r="P132" s="190">
        <f>SUM(P130:P131)</f>
        <v>672.39</v>
      </c>
      <c r="Q132" s="190">
        <f t="shared" si="37"/>
        <v>364.97</v>
      </c>
      <c r="R132" s="190">
        <f t="shared" si="37"/>
        <v>398.57</v>
      </c>
      <c r="S132" s="221">
        <f t="shared" si="37"/>
        <v>2108.3200000000002</v>
      </c>
      <c r="T132" s="190">
        <f t="shared" si="37"/>
        <v>21447.8</v>
      </c>
      <c r="U132" s="190">
        <f t="shared" si="37"/>
        <v>7077.7740000000003</v>
      </c>
      <c r="V132" s="221">
        <f t="shared" si="37"/>
        <v>28525.574000000001</v>
      </c>
    </row>
    <row r="133" spans="1:22" s="27" customFormat="1" ht="12.95" customHeight="1" x14ac:dyDescent="0.25">
      <c r="A133" s="454"/>
      <c r="B133" s="251"/>
      <c r="C133" s="197" t="s">
        <v>149</v>
      </c>
      <c r="D133" s="197"/>
      <c r="E133" s="197" t="s">
        <v>146</v>
      </c>
      <c r="F133" s="223"/>
      <c r="G133" s="224"/>
      <c r="H133" s="197"/>
      <c r="I133" s="197" t="s">
        <v>148</v>
      </c>
      <c r="J133" s="197"/>
      <c r="K133" s="223" t="s">
        <v>147</v>
      </c>
      <c r="L133" s="225"/>
      <c r="M133" s="425"/>
      <c r="N133" s="224"/>
      <c r="O133" s="197"/>
      <c r="P133" s="197" t="s">
        <v>149</v>
      </c>
      <c r="Q133" s="197" t="s">
        <v>148</v>
      </c>
      <c r="R133" s="197" t="s">
        <v>147</v>
      </c>
      <c r="S133" s="281"/>
      <c r="T133" s="280"/>
      <c r="U133" s="410"/>
      <c r="V133" s="426"/>
    </row>
    <row r="134" spans="1:22" s="1" customFormat="1" ht="17.25" thickBot="1" x14ac:dyDescent="0.3">
      <c r="A134" s="459"/>
      <c r="B134" s="288"/>
      <c r="C134" s="226"/>
      <c r="D134" s="226"/>
      <c r="E134" s="226"/>
      <c r="F134" s="227"/>
      <c r="G134" s="228"/>
      <c r="H134" s="229"/>
      <c r="I134" s="226"/>
      <c r="J134" s="226"/>
      <c r="K134" s="227"/>
      <c r="L134" s="230"/>
      <c r="M134" s="427"/>
      <c r="N134" s="287"/>
      <c r="O134" s="290"/>
      <c r="P134" s="290"/>
      <c r="Q134" s="291"/>
      <c r="R134" s="291"/>
      <c r="S134" s="289"/>
      <c r="T134" s="291"/>
      <c r="U134" s="291"/>
      <c r="V134" s="428"/>
    </row>
    <row r="135" spans="1:22" s="1" customFormat="1" ht="17.25" thickBot="1" x14ac:dyDescent="0.3">
      <c r="A135" s="454"/>
      <c r="B135" s="293"/>
      <c r="C135" s="166"/>
      <c r="D135" s="166"/>
      <c r="E135" s="166"/>
      <c r="F135" s="166"/>
      <c r="G135" s="164"/>
      <c r="H135" s="165"/>
      <c r="I135" s="166"/>
      <c r="J135" s="166"/>
      <c r="K135" s="166"/>
      <c r="L135" s="166"/>
      <c r="M135" s="285"/>
      <c r="N135" s="285"/>
      <c r="O135" s="294"/>
      <c r="P135" s="294"/>
      <c r="Q135" s="285"/>
      <c r="R135" s="285"/>
      <c r="S135" s="285"/>
      <c r="T135" s="285"/>
      <c r="U135" s="285"/>
      <c r="V135" s="281"/>
    </row>
    <row r="136" spans="1:22" s="1" customFormat="1" ht="16.5" x14ac:dyDescent="0.25">
      <c r="A136" s="543" t="s">
        <v>27</v>
      </c>
      <c r="B136" s="544"/>
      <c r="C136" s="544"/>
      <c r="D136" s="544"/>
      <c r="E136" s="544"/>
      <c r="F136" s="544"/>
      <c r="G136" s="544"/>
      <c r="H136" s="544"/>
      <c r="I136" s="544"/>
      <c r="J136" s="544"/>
      <c r="K136" s="544"/>
      <c r="L136" s="544"/>
      <c r="M136" s="544"/>
      <c r="N136" s="544"/>
      <c r="O136" s="544"/>
      <c r="P136" s="544"/>
      <c r="Q136" s="544"/>
      <c r="R136" s="544"/>
      <c r="S136" s="544"/>
      <c r="T136" s="544"/>
      <c r="U136" s="544"/>
      <c r="V136" s="545"/>
    </row>
    <row r="137" spans="1:22" s="1" customFormat="1" ht="17.25" thickBot="1" x14ac:dyDescent="0.25">
      <c r="A137" s="540">
        <v>151</v>
      </c>
      <c r="B137" s="541"/>
      <c r="C137" s="541"/>
      <c r="D137" s="541"/>
      <c r="E137" s="541"/>
      <c r="F137" s="541"/>
      <c r="G137" s="541"/>
      <c r="H137" s="541"/>
      <c r="I137" s="541"/>
      <c r="J137" s="541"/>
      <c r="K137" s="541"/>
      <c r="L137" s="541"/>
      <c r="M137" s="541"/>
      <c r="N137" s="541"/>
      <c r="O137" s="541"/>
      <c r="P137" s="541"/>
      <c r="Q137" s="541"/>
      <c r="R137" s="541"/>
      <c r="S137" s="541"/>
      <c r="T137" s="541"/>
      <c r="U137" s="541"/>
      <c r="V137" s="542"/>
    </row>
    <row r="138" spans="1:22" s="1" customFormat="1" ht="16.5" x14ac:dyDescent="0.25">
      <c r="A138" s="211"/>
      <c r="B138" s="169"/>
      <c r="C138" s="167"/>
      <c r="D138" s="167" t="s">
        <v>117</v>
      </c>
      <c r="E138" s="167"/>
      <c r="F138" s="168">
        <v>12006</v>
      </c>
      <c r="G138" s="167"/>
      <c r="H138" s="167">
        <v>12100</v>
      </c>
      <c r="I138" s="167">
        <v>12100</v>
      </c>
      <c r="J138" s="167">
        <v>12101</v>
      </c>
      <c r="K138" s="167">
        <v>12101</v>
      </c>
      <c r="L138" s="199"/>
      <c r="M138" s="385"/>
      <c r="N138" s="167"/>
      <c r="O138" s="167"/>
      <c r="P138" s="167">
        <v>120</v>
      </c>
      <c r="Q138" s="167">
        <v>12100</v>
      </c>
      <c r="R138" s="167">
        <v>12101</v>
      </c>
      <c r="S138" s="167"/>
      <c r="T138" s="169"/>
      <c r="U138" s="296"/>
      <c r="V138" s="406"/>
    </row>
    <row r="139" spans="1:22" s="1" customFormat="1" ht="16.5" x14ac:dyDescent="0.25">
      <c r="A139" s="454"/>
      <c r="B139" s="510" t="s">
        <v>123</v>
      </c>
      <c r="C139" s="511"/>
      <c r="D139" s="511"/>
      <c r="E139" s="511"/>
      <c r="F139" s="512"/>
      <c r="G139" s="513" t="s">
        <v>124</v>
      </c>
      <c r="H139" s="513"/>
      <c r="I139" s="513"/>
      <c r="J139" s="513"/>
      <c r="K139" s="513"/>
      <c r="L139" s="564" t="s">
        <v>132</v>
      </c>
      <c r="M139" s="565" t="s">
        <v>133</v>
      </c>
      <c r="N139" s="566" t="s">
        <v>2</v>
      </c>
      <c r="O139" s="566"/>
      <c r="P139" s="566"/>
      <c r="Q139" s="566"/>
      <c r="R139" s="566"/>
      <c r="S139" s="566"/>
      <c r="T139" s="343"/>
      <c r="U139" s="280"/>
      <c r="V139" s="407"/>
    </row>
    <row r="140" spans="1:22" s="1" customFormat="1" ht="33.75" thickBot="1" x14ac:dyDescent="0.25">
      <c r="A140" s="212"/>
      <c r="B140" s="268" t="s">
        <v>6</v>
      </c>
      <c r="C140" s="173" t="s">
        <v>144</v>
      </c>
      <c r="D140" s="173" t="s">
        <v>139</v>
      </c>
      <c r="E140" s="173" t="s">
        <v>145</v>
      </c>
      <c r="F140" s="174" t="s">
        <v>140</v>
      </c>
      <c r="G140" s="200" t="s">
        <v>9</v>
      </c>
      <c r="H140" s="173" t="s">
        <v>136</v>
      </c>
      <c r="I140" s="173" t="s">
        <v>135</v>
      </c>
      <c r="J140" s="173" t="s">
        <v>134</v>
      </c>
      <c r="K140" s="173" t="s">
        <v>137</v>
      </c>
      <c r="L140" s="552"/>
      <c r="M140" s="554"/>
      <c r="N140" s="173" t="s">
        <v>10</v>
      </c>
      <c r="O140" s="173" t="s">
        <v>11</v>
      </c>
      <c r="P140" s="173" t="s">
        <v>120</v>
      </c>
      <c r="Q140" s="173" t="s">
        <v>122</v>
      </c>
      <c r="R140" s="173" t="s">
        <v>121</v>
      </c>
      <c r="S140" s="173" t="s">
        <v>116</v>
      </c>
      <c r="T140" s="303" t="s">
        <v>141</v>
      </c>
      <c r="U140" s="173" t="s">
        <v>143</v>
      </c>
      <c r="V140" s="176" t="s">
        <v>142</v>
      </c>
    </row>
    <row r="141" spans="1:22" s="1" customFormat="1" ht="16.5" x14ac:dyDescent="0.2">
      <c r="A141" s="213"/>
      <c r="B141" s="269"/>
      <c r="C141" s="214"/>
      <c r="D141" s="214"/>
      <c r="E141" s="214"/>
      <c r="F141" s="215"/>
      <c r="G141" s="231"/>
      <c r="H141" s="217"/>
      <c r="I141" s="214"/>
      <c r="J141" s="214"/>
      <c r="K141" s="214"/>
      <c r="L141" s="218"/>
      <c r="M141" s="423"/>
      <c r="N141" s="214"/>
      <c r="O141" s="284"/>
      <c r="P141" s="284"/>
      <c r="Q141" s="214"/>
      <c r="R141" s="214"/>
      <c r="S141" s="214"/>
      <c r="T141" s="269"/>
      <c r="U141" s="214"/>
      <c r="V141" s="424"/>
    </row>
    <row r="142" spans="1:22" s="33" customFormat="1" ht="20.100000000000001" customHeight="1" x14ac:dyDescent="0.25">
      <c r="A142" s="454" t="s">
        <v>235</v>
      </c>
      <c r="B142" s="251" t="s">
        <v>12</v>
      </c>
      <c r="C142" s="166">
        <f>'RETRIBUCIONES 2025'!$B$4</f>
        <v>1326.9</v>
      </c>
      <c r="D142" s="166">
        <f>C142*12</f>
        <v>15922.800000000001</v>
      </c>
      <c r="E142" s="166">
        <f>'RETRIBUCIONES 2025'!$B$5*2</f>
        <v>102.14</v>
      </c>
      <c r="F142" s="177">
        <f>E142*12</f>
        <v>1225.68</v>
      </c>
      <c r="G142" s="165">
        <v>28</v>
      </c>
      <c r="H142" s="166">
        <f>'RETRIBUCIONES 2025'!$U$14</f>
        <v>995.93</v>
      </c>
      <c r="I142" s="285">
        <f>H142*12</f>
        <v>11951.16</v>
      </c>
      <c r="J142" s="166">
        <v>2118.6799999999998</v>
      </c>
      <c r="K142" s="285">
        <f>J142*12</f>
        <v>25424.159999999996</v>
      </c>
      <c r="L142" s="201">
        <f>C142+E142+H142+J142</f>
        <v>4543.6499999999996</v>
      </c>
      <c r="M142" s="408">
        <f>D142+F142+I142+K142</f>
        <v>54523.799999999996</v>
      </c>
      <c r="N142" s="285">
        <f>'RETRIBUCIONES 2025'!$B$9</f>
        <v>818.82</v>
      </c>
      <c r="O142" s="166">
        <f>'RETRIBUCIONES 2025'!$B$10*2</f>
        <v>63.06</v>
      </c>
      <c r="P142" s="285">
        <f>SUM(N142:O142)</f>
        <v>881.88000000000011</v>
      </c>
      <c r="Q142" s="285">
        <f>PLANTILLA!H142</f>
        <v>995.93</v>
      </c>
      <c r="R142" s="285">
        <f>J142</f>
        <v>2118.6799999999998</v>
      </c>
      <c r="S142" s="285">
        <f>SUM(P142:R142)</f>
        <v>3996.49</v>
      </c>
      <c r="T142" s="219">
        <f>M142+S142*2</f>
        <v>62516.78</v>
      </c>
      <c r="U142" s="285">
        <f>T142*0.33</f>
        <v>20630.537400000001</v>
      </c>
      <c r="V142" s="407">
        <f>SUM(T142:U142)</f>
        <v>83147.3174</v>
      </c>
    </row>
    <row r="143" spans="1:22" s="1" customFormat="1" ht="16.5" x14ac:dyDescent="0.25">
      <c r="A143" s="454"/>
      <c r="B143" s="251"/>
      <c r="C143" s="166"/>
      <c r="D143" s="166"/>
      <c r="E143" s="166"/>
      <c r="F143" s="177"/>
      <c r="G143" s="165"/>
      <c r="H143" s="166"/>
      <c r="I143" s="285"/>
      <c r="J143" s="166"/>
      <c r="K143" s="285"/>
      <c r="L143" s="201"/>
      <c r="M143" s="408"/>
      <c r="N143" s="285"/>
      <c r="O143" s="285"/>
      <c r="P143" s="285"/>
      <c r="Q143" s="285"/>
      <c r="R143" s="285"/>
      <c r="S143" s="285"/>
      <c r="T143" s="219"/>
      <c r="U143" s="285"/>
      <c r="V143" s="407"/>
    </row>
    <row r="144" spans="1:22" s="4" customFormat="1" ht="15" customHeight="1" x14ac:dyDescent="0.25">
      <c r="A144" s="455" t="s">
        <v>18</v>
      </c>
      <c r="B144" s="255"/>
      <c r="C144" s="183">
        <f>SUM(C142:C143)</f>
        <v>1326.9</v>
      </c>
      <c r="D144" s="183">
        <f t="shared" ref="D144:D160" si="38">C144*12</f>
        <v>15922.800000000001</v>
      </c>
      <c r="E144" s="183">
        <f>SUM(E142:E143)</f>
        <v>102.14</v>
      </c>
      <c r="F144" s="232">
        <f t="shared" ref="F144:F160" si="39">E144*12</f>
        <v>1225.68</v>
      </c>
      <c r="G144" s="203"/>
      <c r="H144" s="183">
        <f>SUM(H142:H143)</f>
        <v>995.93</v>
      </c>
      <c r="I144" s="395">
        <f t="shared" ref="I144:I160" si="40">H144*12</f>
        <v>11951.16</v>
      </c>
      <c r="J144" s="183">
        <f>SUM(J142:J143)</f>
        <v>2118.6799999999998</v>
      </c>
      <c r="K144" s="395">
        <f t="shared" ref="K144:K160" si="41">J144*12</f>
        <v>25424.159999999996</v>
      </c>
      <c r="L144" s="187">
        <f t="shared" ref="L144:L160" si="42">C144+E144+H144+J144</f>
        <v>4543.6499999999996</v>
      </c>
      <c r="M144" s="391">
        <f t="shared" ref="M144:M160" si="43">D144+F144+I144+K144</f>
        <v>54523.799999999996</v>
      </c>
      <c r="N144" s="395">
        <f>SUM(N142:N143)</f>
        <v>818.82</v>
      </c>
      <c r="O144" s="395">
        <f>SUM(O142:O143)</f>
        <v>63.06</v>
      </c>
      <c r="P144" s="395">
        <f t="shared" ref="P144:P160" si="44">SUM(N144:O144)</f>
        <v>881.88000000000011</v>
      </c>
      <c r="Q144" s="395">
        <f>PLANTILLA!H144</f>
        <v>995.93</v>
      </c>
      <c r="R144" s="395">
        <f t="shared" ref="R144:R160" si="45">J144</f>
        <v>2118.6799999999998</v>
      </c>
      <c r="S144" s="395">
        <f t="shared" ref="S144:S160" si="46">SUM(P144:R144)</f>
        <v>3996.49</v>
      </c>
      <c r="T144" s="306">
        <f t="shared" ref="T144:T160" si="47">M144+S144*2</f>
        <v>62516.78</v>
      </c>
      <c r="U144" s="395">
        <f t="shared" ref="U144:U160" si="48">T144*0.33</f>
        <v>20630.537400000001</v>
      </c>
      <c r="V144" s="391">
        <f t="shared" ref="V144:V160" si="49">SUM(T144:U144)</f>
        <v>83147.3174</v>
      </c>
    </row>
    <row r="145" spans="1:22" s="1" customFormat="1" ht="16.5" x14ac:dyDescent="0.25">
      <c r="A145" s="454"/>
      <c r="B145" s="251"/>
      <c r="C145" s="166"/>
      <c r="D145" s="166"/>
      <c r="E145" s="166"/>
      <c r="F145" s="177"/>
      <c r="G145" s="165"/>
      <c r="H145" s="166"/>
      <c r="I145" s="285"/>
      <c r="J145" s="166"/>
      <c r="K145" s="285"/>
      <c r="L145" s="201"/>
      <c r="M145" s="408"/>
      <c r="N145" s="285"/>
      <c r="O145" s="285"/>
      <c r="P145" s="285"/>
      <c r="Q145" s="285"/>
      <c r="R145" s="285"/>
      <c r="S145" s="285"/>
      <c r="T145" s="219"/>
      <c r="U145" s="285"/>
      <c r="V145" s="407"/>
    </row>
    <row r="146" spans="1:22" s="1" customFormat="1" ht="16.5" x14ac:dyDescent="0.25">
      <c r="A146" s="454" t="s">
        <v>236</v>
      </c>
      <c r="B146" s="251" t="s">
        <v>13</v>
      </c>
      <c r="C146" s="166">
        <f>'RETRIBUCIONES 2025'!$C$4</f>
        <v>1147.3499999999999</v>
      </c>
      <c r="D146" s="166">
        <f t="shared" si="38"/>
        <v>13768.199999999999</v>
      </c>
      <c r="E146" s="166">
        <f>'RETRIBUCIONES 2025'!$C$5*4</f>
        <v>166.6</v>
      </c>
      <c r="F146" s="177">
        <f t="shared" si="39"/>
        <v>1999.1999999999998</v>
      </c>
      <c r="G146" s="165">
        <v>25</v>
      </c>
      <c r="H146" s="166">
        <f>'RETRIBUCIONES 2025'!$R$14</f>
        <v>741.15</v>
      </c>
      <c r="I146" s="285">
        <f t="shared" si="40"/>
        <v>8893.7999999999993</v>
      </c>
      <c r="J146" s="166">
        <v>1539.4</v>
      </c>
      <c r="K146" s="285">
        <f t="shared" si="41"/>
        <v>18472.800000000003</v>
      </c>
      <c r="L146" s="201">
        <f t="shared" si="42"/>
        <v>3594.5</v>
      </c>
      <c r="M146" s="408">
        <f t="shared" si="43"/>
        <v>43134</v>
      </c>
      <c r="N146" s="285">
        <f>'RETRIBUCIONES 2025'!$C$9</f>
        <v>836.78</v>
      </c>
      <c r="O146" s="166">
        <f>'RETRIBUCIONES 2025'!$C$10*4</f>
        <v>121.48</v>
      </c>
      <c r="P146" s="285">
        <f t="shared" si="44"/>
        <v>958.26</v>
      </c>
      <c r="Q146" s="285">
        <f>PLANTILLA!H146</f>
        <v>741.15</v>
      </c>
      <c r="R146" s="285">
        <f t="shared" si="45"/>
        <v>1539.4</v>
      </c>
      <c r="S146" s="285">
        <f t="shared" si="46"/>
        <v>3238.81</v>
      </c>
      <c r="T146" s="219">
        <f t="shared" si="47"/>
        <v>49611.62</v>
      </c>
      <c r="U146" s="285">
        <f t="shared" si="48"/>
        <v>16371.834600000002</v>
      </c>
      <c r="V146" s="407">
        <f t="shared" si="49"/>
        <v>65983.454599999997</v>
      </c>
    </row>
    <row r="147" spans="1:22" s="1" customFormat="1" ht="16.5" x14ac:dyDescent="0.25">
      <c r="A147" s="454"/>
      <c r="B147" s="251"/>
      <c r="C147" s="166"/>
      <c r="D147" s="166"/>
      <c r="E147" s="166"/>
      <c r="F147" s="177"/>
      <c r="G147" s="165"/>
      <c r="H147" s="166"/>
      <c r="I147" s="285"/>
      <c r="J147" s="166"/>
      <c r="K147" s="285"/>
      <c r="L147" s="201"/>
      <c r="M147" s="408"/>
      <c r="N147" s="285"/>
      <c r="O147" s="285"/>
      <c r="P147" s="285"/>
      <c r="Q147" s="285"/>
      <c r="R147" s="285"/>
      <c r="S147" s="285"/>
      <c r="T147" s="219"/>
      <c r="U147" s="285"/>
      <c r="V147" s="407"/>
    </row>
    <row r="148" spans="1:22" s="4" customFormat="1" ht="16.5" x14ac:dyDescent="0.25">
      <c r="A148" s="455" t="s">
        <v>19</v>
      </c>
      <c r="B148" s="255"/>
      <c r="C148" s="183">
        <f>SUM(C146)</f>
        <v>1147.3499999999999</v>
      </c>
      <c r="D148" s="183">
        <f t="shared" si="38"/>
        <v>13768.199999999999</v>
      </c>
      <c r="E148" s="183">
        <f>SUM(E146:E147)</f>
        <v>166.6</v>
      </c>
      <c r="F148" s="232">
        <f t="shared" si="39"/>
        <v>1999.1999999999998</v>
      </c>
      <c r="G148" s="203"/>
      <c r="H148" s="183">
        <f>SUM(H146)</f>
        <v>741.15</v>
      </c>
      <c r="I148" s="395">
        <f t="shared" si="40"/>
        <v>8893.7999999999993</v>
      </c>
      <c r="J148" s="183">
        <f>SUM(J146)</f>
        <v>1539.4</v>
      </c>
      <c r="K148" s="395">
        <f t="shared" si="41"/>
        <v>18472.800000000003</v>
      </c>
      <c r="L148" s="187">
        <f t="shared" si="42"/>
        <v>3594.5</v>
      </c>
      <c r="M148" s="391">
        <f t="shared" si="43"/>
        <v>43134</v>
      </c>
      <c r="N148" s="395">
        <f>SUM(N146:N147)</f>
        <v>836.78</v>
      </c>
      <c r="O148" s="395">
        <f>SUM(O146:O147)</f>
        <v>121.48</v>
      </c>
      <c r="P148" s="395">
        <f t="shared" si="44"/>
        <v>958.26</v>
      </c>
      <c r="Q148" s="395">
        <f>PLANTILLA!H148</f>
        <v>741.15</v>
      </c>
      <c r="R148" s="395">
        <f t="shared" si="45"/>
        <v>1539.4</v>
      </c>
      <c r="S148" s="395">
        <f t="shared" si="46"/>
        <v>3238.81</v>
      </c>
      <c r="T148" s="306">
        <f t="shared" si="47"/>
        <v>49611.62</v>
      </c>
      <c r="U148" s="395">
        <f t="shared" si="48"/>
        <v>16371.834600000002</v>
      </c>
      <c r="V148" s="391">
        <f t="shared" si="49"/>
        <v>65983.454599999997</v>
      </c>
    </row>
    <row r="149" spans="1:22" s="1" customFormat="1" ht="16.5" x14ac:dyDescent="0.25">
      <c r="A149" s="454"/>
      <c r="B149" s="251"/>
      <c r="C149" s="166"/>
      <c r="D149" s="166"/>
      <c r="E149" s="166"/>
      <c r="F149" s="177"/>
      <c r="G149" s="165"/>
      <c r="H149" s="166"/>
      <c r="I149" s="285"/>
      <c r="J149" s="166"/>
      <c r="K149" s="285"/>
      <c r="L149" s="201"/>
      <c r="M149" s="408"/>
      <c r="N149" s="285"/>
      <c r="O149" s="285"/>
      <c r="P149" s="285"/>
      <c r="Q149" s="285"/>
      <c r="R149" s="285"/>
      <c r="S149" s="285"/>
      <c r="T149" s="219"/>
      <c r="U149" s="285"/>
      <c r="V149" s="407"/>
    </row>
    <row r="150" spans="1:22" s="1" customFormat="1" ht="16.5" x14ac:dyDescent="0.25">
      <c r="A150" s="454" t="s">
        <v>237</v>
      </c>
      <c r="B150" s="251" t="s">
        <v>15</v>
      </c>
      <c r="C150" s="166">
        <f>'RETRIBUCIONES 2025'!$E$4</f>
        <v>861.46</v>
      </c>
      <c r="D150" s="166">
        <f t="shared" si="38"/>
        <v>10337.52</v>
      </c>
      <c r="E150" s="166">
        <f>'RETRIBUCIONES 2025'!E5</f>
        <v>31.53</v>
      </c>
      <c r="F150" s="177">
        <f t="shared" si="39"/>
        <v>378.36</v>
      </c>
      <c r="G150" s="165">
        <v>20</v>
      </c>
      <c r="H150" s="166">
        <f>'RETRIBUCIONES 2025'!$M$14</f>
        <v>526.09</v>
      </c>
      <c r="I150" s="285">
        <f t="shared" si="40"/>
        <v>6313.08</v>
      </c>
      <c r="J150" s="166">
        <v>817.02</v>
      </c>
      <c r="K150" s="285">
        <f t="shared" si="41"/>
        <v>9804.24</v>
      </c>
      <c r="L150" s="201">
        <f t="shared" si="42"/>
        <v>2236.1</v>
      </c>
      <c r="M150" s="408">
        <f t="shared" si="43"/>
        <v>26833.199999999997</v>
      </c>
      <c r="N150" s="285">
        <f>'RETRIBUCIONES 2025'!$E$9</f>
        <v>744.56</v>
      </c>
      <c r="O150" s="285">
        <f>'RETRIBUCIONES 2025'!E10</f>
        <v>27.21</v>
      </c>
      <c r="P150" s="285">
        <f t="shared" si="44"/>
        <v>771.77</v>
      </c>
      <c r="Q150" s="285">
        <f>PLANTILLA!H150</f>
        <v>526.09</v>
      </c>
      <c r="R150" s="285">
        <f t="shared" si="45"/>
        <v>817.02</v>
      </c>
      <c r="S150" s="285">
        <f t="shared" si="46"/>
        <v>2114.88</v>
      </c>
      <c r="T150" s="219">
        <f t="shared" si="47"/>
        <v>31062.959999999999</v>
      </c>
      <c r="U150" s="285">
        <f t="shared" si="48"/>
        <v>10250.7768</v>
      </c>
      <c r="V150" s="407">
        <f t="shared" si="49"/>
        <v>41313.736799999999</v>
      </c>
    </row>
    <row r="151" spans="1:22" s="1" customFormat="1" ht="16.5" x14ac:dyDescent="0.25">
      <c r="A151" s="454"/>
      <c r="B151" s="251"/>
      <c r="C151" s="166"/>
      <c r="D151" s="166"/>
      <c r="E151" s="166"/>
      <c r="F151" s="177"/>
      <c r="G151" s="165"/>
      <c r="H151" s="166"/>
      <c r="I151" s="285"/>
      <c r="J151" s="166"/>
      <c r="K151" s="285"/>
      <c r="L151" s="201"/>
      <c r="M151" s="408"/>
      <c r="N151" s="285"/>
      <c r="O151" s="285"/>
      <c r="P151" s="285"/>
      <c r="Q151" s="285"/>
      <c r="R151" s="285"/>
      <c r="S151" s="285"/>
      <c r="T151" s="219"/>
      <c r="U151" s="285"/>
      <c r="V151" s="407"/>
    </row>
    <row r="152" spans="1:22" s="1" customFormat="1" ht="16.5" x14ac:dyDescent="0.25">
      <c r="A152" s="454" t="s">
        <v>237</v>
      </c>
      <c r="B152" s="251" t="s">
        <v>15</v>
      </c>
      <c r="C152" s="166">
        <f>'RETRIBUCIONES 2025'!$E$4</f>
        <v>861.46</v>
      </c>
      <c r="D152" s="166">
        <f t="shared" si="38"/>
        <v>10337.52</v>
      </c>
      <c r="E152" s="166">
        <f>6*'RETRIBUCIONES 2025'!E5</f>
        <v>189.18</v>
      </c>
      <c r="F152" s="177">
        <f t="shared" si="39"/>
        <v>2270.16</v>
      </c>
      <c r="G152" s="165">
        <v>20</v>
      </c>
      <c r="H152" s="166">
        <f>'RETRIBUCIONES 2025'!$M$14</f>
        <v>526.09</v>
      </c>
      <c r="I152" s="285">
        <f t="shared" si="40"/>
        <v>6313.08</v>
      </c>
      <c r="J152" s="166">
        <v>817.02</v>
      </c>
      <c r="K152" s="285">
        <f t="shared" si="41"/>
        <v>9804.24</v>
      </c>
      <c r="L152" s="201">
        <f t="shared" si="42"/>
        <v>2393.75</v>
      </c>
      <c r="M152" s="408">
        <f t="shared" si="43"/>
        <v>28725</v>
      </c>
      <c r="N152" s="285">
        <f>'RETRIBUCIONES 2025'!$E$9</f>
        <v>744.56</v>
      </c>
      <c r="O152" s="285">
        <f>6*'RETRIBUCIONES 2025'!E10</f>
        <v>163.26</v>
      </c>
      <c r="P152" s="285">
        <f t="shared" si="44"/>
        <v>907.81999999999994</v>
      </c>
      <c r="Q152" s="285">
        <f>PLANTILLA!H152</f>
        <v>526.09</v>
      </c>
      <c r="R152" s="285">
        <f t="shared" si="45"/>
        <v>817.02</v>
      </c>
      <c r="S152" s="285">
        <f t="shared" si="46"/>
        <v>2250.9299999999998</v>
      </c>
      <c r="T152" s="219">
        <f t="shared" si="47"/>
        <v>33226.86</v>
      </c>
      <c r="U152" s="285">
        <f t="shared" si="48"/>
        <v>10964.863800000001</v>
      </c>
      <c r="V152" s="407">
        <f t="shared" si="49"/>
        <v>44191.7238</v>
      </c>
    </row>
    <row r="153" spans="1:22" s="1" customFormat="1" ht="16.5" x14ac:dyDescent="0.25">
      <c r="A153" s="454"/>
      <c r="B153" s="251"/>
      <c r="C153" s="166"/>
      <c r="D153" s="166"/>
      <c r="E153" s="166"/>
      <c r="F153" s="177"/>
      <c r="G153" s="165"/>
      <c r="H153" s="166"/>
      <c r="I153" s="285"/>
      <c r="J153" s="166"/>
      <c r="K153" s="285"/>
      <c r="L153" s="201"/>
      <c r="M153" s="408"/>
      <c r="N153" s="285"/>
      <c r="O153" s="285"/>
      <c r="P153" s="285"/>
      <c r="Q153" s="285"/>
      <c r="R153" s="285"/>
      <c r="S153" s="285"/>
      <c r="T153" s="219"/>
      <c r="U153" s="285"/>
      <c r="V153" s="407"/>
    </row>
    <row r="154" spans="1:22" s="1" customFormat="1" ht="27" customHeight="1" x14ac:dyDescent="0.25">
      <c r="A154" s="454" t="s">
        <v>240</v>
      </c>
      <c r="B154" s="251" t="s">
        <v>15</v>
      </c>
      <c r="C154" s="180">
        <f>'RETRIBUCIONES 2025'!$E$4</f>
        <v>861.46</v>
      </c>
      <c r="D154" s="166">
        <f t="shared" si="38"/>
        <v>10337.52</v>
      </c>
      <c r="E154" s="166">
        <f>'RETRIBUCIONES 2025'!$F$5+('RETRIBUCIONES 2025'!$E$5*9)</f>
        <v>305.22999999999996</v>
      </c>
      <c r="F154" s="177">
        <f t="shared" si="39"/>
        <v>3662.7599999999993</v>
      </c>
      <c r="G154" s="233" t="s">
        <v>58</v>
      </c>
      <c r="H154" s="180">
        <f>'RETRIBUCIONES 2025'!$J$14</f>
        <v>445.5</v>
      </c>
      <c r="I154" s="285">
        <f t="shared" si="40"/>
        <v>5346</v>
      </c>
      <c r="J154" s="180">
        <v>1018.7</v>
      </c>
      <c r="K154" s="285">
        <f t="shared" si="41"/>
        <v>12224.400000000001</v>
      </c>
      <c r="L154" s="201">
        <f t="shared" si="42"/>
        <v>2630.8900000000003</v>
      </c>
      <c r="M154" s="408">
        <f t="shared" si="43"/>
        <v>31570.68</v>
      </c>
      <c r="N154" s="308">
        <f>'RETRIBUCIONES 2025'!$E$9</f>
        <v>744.56</v>
      </c>
      <c r="O154" s="180">
        <f>('RETRIBUCIONES 2025'!$F$10*1)+('RETRIBUCIONES 2025'!$E$10*9)</f>
        <v>266.13</v>
      </c>
      <c r="P154" s="285">
        <f t="shared" si="44"/>
        <v>1010.6899999999999</v>
      </c>
      <c r="Q154" s="285">
        <f>PLANTILLA!H154</f>
        <v>445.5</v>
      </c>
      <c r="R154" s="285">
        <f t="shared" si="45"/>
        <v>1018.7</v>
      </c>
      <c r="S154" s="285">
        <f t="shared" si="46"/>
        <v>2474.8900000000003</v>
      </c>
      <c r="T154" s="219">
        <f t="shared" si="47"/>
        <v>36520.46</v>
      </c>
      <c r="U154" s="285">
        <f t="shared" si="48"/>
        <v>12051.7518</v>
      </c>
      <c r="V154" s="407">
        <f t="shared" si="49"/>
        <v>48572.211799999997</v>
      </c>
    </row>
    <row r="155" spans="1:22" s="1" customFormat="1" ht="16.5" x14ac:dyDescent="0.25">
      <c r="A155" s="454"/>
      <c r="B155" s="251"/>
      <c r="C155" s="166"/>
      <c r="D155" s="166"/>
      <c r="E155" s="166"/>
      <c r="F155" s="177"/>
      <c r="G155" s="165"/>
      <c r="H155" s="166"/>
      <c r="I155" s="285"/>
      <c r="J155" s="166"/>
      <c r="K155" s="285"/>
      <c r="L155" s="201"/>
      <c r="M155" s="408"/>
      <c r="N155" s="285"/>
      <c r="O155" s="285"/>
      <c r="P155" s="285"/>
      <c r="Q155" s="285"/>
      <c r="R155" s="285"/>
      <c r="S155" s="285"/>
      <c r="T155" s="219"/>
      <c r="U155" s="285"/>
      <c r="V155" s="407"/>
    </row>
    <row r="156" spans="1:22" s="4" customFormat="1" ht="15" customHeight="1" x14ac:dyDescent="0.25">
      <c r="A156" s="455" t="s">
        <v>20</v>
      </c>
      <c r="B156" s="255"/>
      <c r="C156" s="183">
        <f>SUM(C150:C154)</f>
        <v>2584.38</v>
      </c>
      <c r="D156" s="183">
        <f t="shared" si="38"/>
        <v>31012.560000000001</v>
      </c>
      <c r="E156" s="183">
        <f>SUM(E150:E154)</f>
        <v>525.93999999999994</v>
      </c>
      <c r="F156" s="232">
        <f t="shared" si="39"/>
        <v>6311.2799999999988</v>
      </c>
      <c r="G156" s="203"/>
      <c r="H156" s="183">
        <f>SUM(H150:H154)</f>
        <v>1497.68</v>
      </c>
      <c r="I156" s="395">
        <f t="shared" si="40"/>
        <v>17972.16</v>
      </c>
      <c r="J156" s="183">
        <f>SUM(J150:J154)</f>
        <v>2652.74</v>
      </c>
      <c r="K156" s="395">
        <f t="shared" si="41"/>
        <v>31832.879999999997</v>
      </c>
      <c r="L156" s="187">
        <f t="shared" si="42"/>
        <v>7260.74</v>
      </c>
      <c r="M156" s="391">
        <f t="shared" si="43"/>
        <v>87128.88</v>
      </c>
      <c r="N156" s="395">
        <f>SUM(N150:N154)</f>
        <v>2233.6799999999998</v>
      </c>
      <c r="O156" s="395">
        <f>SUM(O150:O154)</f>
        <v>456.6</v>
      </c>
      <c r="P156" s="395">
        <f t="shared" si="44"/>
        <v>2690.2799999999997</v>
      </c>
      <c r="Q156" s="395">
        <f>PLANTILLA!H156</f>
        <v>1497.68</v>
      </c>
      <c r="R156" s="395">
        <f t="shared" si="45"/>
        <v>2652.74</v>
      </c>
      <c r="S156" s="395">
        <f t="shared" si="46"/>
        <v>6840.7</v>
      </c>
      <c r="T156" s="306">
        <f t="shared" si="47"/>
        <v>100810.28</v>
      </c>
      <c r="U156" s="395">
        <f t="shared" si="48"/>
        <v>33267.392400000004</v>
      </c>
      <c r="V156" s="391">
        <f t="shared" si="49"/>
        <v>134077.67240000001</v>
      </c>
    </row>
    <row r="157" spans="1:22" s="1" customFormat="1" ht="15" customHeight="1" x14ac:dyDescent="0.25">
      <c r="A157" s="454"/>
      <c r="B157" s="251"/>
      <c r="C157" s="166"/>
      <c r="D157" s="166"/>
      <c r="E157" s="166"/>
      <c r="F157" s="177"/>
      <c r="G157" s="165"/>
      <c r="H157" s="166"/>
      <c r="I157" s="285"/>
      <c r="J157" s="166"/>
      <c r="K157" s="285"/>
      <c r="L157" s="201"/>
      <c r="M157" s="408"/>
      <c r="N157" s="285"/>
      <c r="O157" s="285"/>
      <c r="P157" s="285"/>
      <c r="Q157" s="285"/>
      <c r="R157" s="285"/>
      <c r="S157" s="285"/>
      <c r="T157" s="219"/>
      <c r="U157" s="285"/>
      <c r="V157" s="407"/>
    </row>
    <row r="158" spans="1:22" s="1" customFormat="1" ht="15" customHeight="1" x14ac:dyDescent="0.25">
      <c r="A158" s="454" t="s">
        <v>229</v>
      </c>
      <c r="B158" s="251" t="s">
        <v>17</v>
      </c>
      <c r="C158" s="166">
        <f>'RETRIBUCIONES 2025'!$F$4</f>
        <v>716.98</v>
      </c>
      <c r="D158" s="166">
        <f t="shared" si="38"/>
        <v>8603.76</v>
      </c>
      <c r="E158" s="166">
        <f>'RETRIBUCIONES 2025'!$F$5*3</f>
        <v>64.38</v>
      </c>
      <c r="F158" s="177">
        <f t="shared" si="39"/>
        <v>772.56</v>
      </c>
      <c r="G158" s="165">
        <v>18</v>
      </c>
      <c r="H158" s="166">
        <f>'RETRIBUCIONES 2025'!$K$14</f>
        <v>472.37</v>
      </c>
      <c r="I158" s="285">
        <f t="shared" si="40"/>
        <v>5668.4400000000005</v>
      </c>
      <c r="J158" s="166">
        <v>610.34</v>
      </c>
      <c r="K158" s="285">
        <f t="shared" si="41"/>
        <v>7324.08</v>
      </c>
      <c r="L158" s="201">
        <f t="shared" si="42"/>
        <v>1864.0700000000002</v>
      </c>
      <c r="M158" s="408">
        <f t="shared" si="43"/>
        <v>22368.84</v>
      </c>
      <c r="N158" s="285">
        <f>'RETRIBUCIONES 2025'!$F$9</f>
        <v>710.44</v>
      </c>
      <c r="O158" s="166">
        <f>'RETRIBUCIONES 2025'!$F$10*3</f>
        <v>63.72</v>
      </c>
      <c r="P158" s="285">
        <f t="shared" si="44"/>
        <v>774.16000000000008</v>
      </c>
      <c r="Q158" s="285">
        <f>PLANTILLA!H158</f>
        <v>472.37</v>
      </c>
      <c r="R158" s="285">
        <f t="shared" si="45"/>
        <v>610.34</v>
      </c>
      <c r="S158" s="285">
        <f t="shared" si="46"/>
        <v>1856.8700000000003</v>
      </c>
      <c r="T158" s="219">
        <f t="shared" si="47"/>
        <v>26082.58</v>
      </c>
      <c r="U158" s="285">
        <f t="shared" si="48"/>
        <v>8607.251400000001</v>
      </c>
      <c r="V158" s="407">
        <f t="shared" si="49"/>
        <v>34689.831400000003</v>
      </c>
    </row>
    <row r="159" spans="1:22" s="1" customFormat="1" ht="16.5" x14ac:dyDescent="0.25">
      <c r="A159" s="454"/>
      <c r="B159" s="251"/>
      <c r="C159" s="166"/>
      <c r="D159" s="166"/>
      <c r="E159" s="166"/>
      <c r="F159" s="177"/>
      <c r="G159" s="164"/>
      <c r="H159" s="166"/>
      <c r="I159" s="285"/>
      <c r="J159" s="166"/>
      <c r="K159" s="285"/>
      <c r="L159" s="201"/>
      <c r="M159" s="408"/>
      <c r="N159" s="285"/>
      <c r="O159" s="285"/>
      <c r="P159" s="285"/>
      <c r="Q159" s="285"/>
      <c r="R159" s="285"/>
      <c r="S159" s="285"/>
      <c r="T159" s="219"/>
      <c r="U159" s="285"/>
      <c r="V159" s="407"/>
    </row>
    <row r="160" spans="1:22" s="4" customFormat="1" ht="16.5" x14ac:dyDescent="0.25">
      <c r="A160" s="455" t="s">
        <v>21</v>
      </c>
      <c r="B160" s="255"/>
      <c r="C160" s="183">
        <f>SUM(C158:C159)</f>
        <v>716.98</v>
      </c>
      <c r="D160" s="183">
        <f t="shared" si="38"/>
        <v>8603.76</v>
      </c>
      <c r="E160" s="183">
        <f>SUM(E158:E159)</f>
        <v>64.38</v>
      </c>
      <c r="F160" s="232">
        <f t="shared" si="39"/>
        <v>772.56</v>
      </c>
      <c r="G160" s="234"/>
      <c r="H160" s="183">
        <f>SUM(H158:H159)</f>
        <v>472.37</v>
      </c>
      <c r="I160" s="395">
        <f t="shared" si="40"/>
        <v>5668.4400000000005</v>
      </c>
      <c r="J160" s="183">
        <f>SUM(J158)</f>
        <v>610.34</v>
      </c>
      <c r="K160" s="395">
        <f t="shared" si="41"/>
        <v>7324.08</v>
      </c>
      <c r="L160" s="187">
        <f t="shared" si="42"/>
        <v>1864.0700000000002</v>
      </c>
      <c r="M160" s="391">
        <f t="shared" si="43"/>
        <v>22368.84</v>
      </c>
      <c r="N160" s="395">
        <f>SUM(N158:N159)</f>
        <v>710.44</v>
      </c>
      <c r="O160" s="395">
        <f>SUM(O158:O159)</f>
        <v>63.72</v>
      </c>
      <c r="P160" s="395">
        <f t="shared" si="44"/>
        <v>774.16000000000008</v>
      </c>
      <c r="Q160" s="395">
        <f>PLANTILLA!H160</f>
        <v>472.37</v>
      </c>
      <c r="R160" s="395">
        <f t="shared" si="45"/>
        <v>610.34</v>
      </c>
      <c r="S160" s="395">
        <f t="shared" si="46"/>
        <v>1856.8700000000003</v>
      </c>
      <c r="T160" s="306">
        <f t="shared" si="47"/>
        <v>26082.58</v>
      </c>
      <c r="U160" s="395">
        <f t="shared" si="48"/>
        <v>8607.251400000001</v>
      </c>
      <c r="V160" s="391">
        <f t="shared" si="49"/>
        <v>34689.831400000003</v>
      </c>
    </row>
    <row r="161" spans="1:22" s="1" customFormat="1" ht="16.5" x14ac:dyDescent="0.25">
      <c r="A161" s="453"/>
      <c r="B161" s="256"/>
      <c r="C161" s="188"/>
      <c r="D161" s="188"/>
      <c r="E161" s="188"/>
      <c r="F161" s="235"/>
      <c r="G161" s="210"/>
      <c r="H161" s="236"/>
      <c r="I161" s="188"/>
      <c r="J161" s="188"/>
      <c r="K161" s="188"/>
      <c r="L161" s="237"/>
      <c r="M161" s="390"/>
      <c r="N161" s="294"/>
      <c r="O161" s="285"/>
      <c r="P161" s="285"/>
      <c r="Q161" s="285"/>
      <c r="R161" s="285"/>
      <c r="S161" s="285"/>
      <c r="T161" s="219"/>
      <c r="U161" s="285"/>
      <c r="V161" s="407"/>
    </row>
    <row r="162" spans="1:22" s="1" customFormat="1" ht="16.5" x14ac:dyDescent="0.25">
      <c r="A162" s="456" t="s">
        <v>28</v>
      </c>
      <c r="B162" s="257"/>
      <c r="C162" s="190">
        <f>C160+C156+C148+C144</f>
        <v>5775.6100000000006</v>
      </c>
      <c r="D162" s="190">
        <f t="shared" ref="D162:V162" si="50">D160+D156+D148+D144</f>
        <v>69307.319999999992</v>
      </c>
      <c r="E162" s="190">
        <f t="shared" si="50"/>
        <v>859.06</v>
      </c>
      <c r="F162" s="221">
        <f t="shared" si="50"/>
        <v>10308.719999999998</v>
      </c>
      <c r="G162" s="190"/>
      <c r="H162" s="190">
        <f t="shared" si="50"/>
        <v>3707.13</v>
      </c>
      <c r="I162" s="190">
        <f t="shared" si="50"/>
        <v>44485.56</v>
      </c>
      <c r="J162" s="190">
        <f t="shared" si="50"/>
        <v>6921.16</v>
      </c>
      <c r="K162" s="190">
        <f t="shared" si="50"/>
        <v>83053.919999999998</v>
      </c>
      <c r="L162" s="222">
        <f t="shared" si="50"/>
        <v>17262.96</v>
      </c>
      <c r="M162" s="221">
        <f t="shared" si="50"/>
        <v>207155.52</v>
      </c>
      <c r="N162" s="190">
        <f t="shared" si="50"/>
        <v>4599.7199999999993</v>
      </c>
      <c r="O162" s="190">
        <f t="shared" si="50"/>
        <v>704.86000000000013</v>
      </c>
      <c r="P162" s="190">
        <f t="shared" si="50"/>
        <v>5304.58</v>
      </c>
      <c r="Q162" s="190">
        <f t="shared" si="50"/>
        <v>3707.13</v>
      </c>
      <c r="R162" s="190">
        <f t="shared" si="50"/>
        <v>6921.16</v>
      </c>
      <c r="S162" s="190">
        <f t="shared" si="50"/>
        <v>15932.869999999999</v>
      </c>
      <c r="T162" s="222">
        <f t="shared" si="50"/>
        <v>239021.26</v>
      </c>
      <c r="U162" s="190">
        <f t="shared" si="50"/>
        <v>78877.015800000008</v>
      </c>
      <c r="V162" s="221">
        <f t="shared" si="50"/>
        <v>317898.2758</v>
      </c>
    </row>
    <row r="163" spans="1:22" s="1" customFormat="1" ht="17.25" thickBot="1" x14ac:dyDescent="0.3">
      <c r="A163" s="457"/>
      <c r="B163" s="299"/>
      <c r="C163" s="194" t="s">
        <v>128</v>
      </c>
      <c r="D163" s="194"/>
      <c r="E163" s="194" t="s">
        <v>129</v>
      </c>
      <c r="F163" s="195"/>
      <c r="G163" s="196"/>
      <c r="H163" s="194"/>
      <c r="I163" s="194" t="s">
        <v>130</v>
      </c>
      <c r="J163" s="194"/>
      <c r="K163" s="195" t="s">
        <v>131</v>
      </c>
      <c r="L163" s="209"/>
      <c r="M163" s="403"/>
      <c r="N163" s="196"/>
      <c r="O163" s="194"/>
      <c r="P163" s="194" t="s">
        <v>128</v>
      </c>
      <c r="Q163" s="194" t="s">
        <v>130</v>
      </c>
      <c r="R163" s="194" t="s">
        <v>131</v>
      </c>
      <c r="S163" s="289"/>
      <c r="T163" s="404"/>
      <c r="U163" s="421"/>
      <c r="V163" s="422"/>
    </row>
    <row r="164" spans="1:22" s="1" customFormat="1" ht="16.5" x14ac:dyDescent="0.25">
      <c r="A164" s="453"/>
      <c r="B164" s="309"/>
      <c r="C164" s="197"/>
      <c r="D164" s="197"/>
      <c r="E164" s="197"/>
      <c r="F164" s="197"/>
      <c r="G164" s="197"/>
      <c r="H164" s="197"/>
      <c r="I164" s="197"/>
      <c r="J164" s="197"/>
      <c r="K164" s="197"/>
      <c r="L164" s="197"/>
      <c r="M164" s="197"/>
      <c r="N164" s="197"/>
      <c r="O164" s="197"/>
      <c r="P164" s="197"/>
      <c r="Q164" s="197"/>
      <c r="R164" s="197"/>
      <c r="S164" s="285"/>
      <c r="T164" s="280"/>
      <c r="U164" s="410"/>
      <c r="V164" s="429"/>
    </row>
    <row r="165" spans="1:22" s="1" customFormat="1" ht="17.25" thickBot="1" x14ac:dyDescent="0.3">
      <c r="A165" s="453"/>
      <c r="B165" s="309"/>
      <c r="C165" s="197"/>
      <c r="D165" s="197"/>
      <c r="E165" s="197"/>
      <c r="F165" s="197"/>
      <c r="G165" s="197"/>
      <c r="H165" s="197"/>
      <c r="I165" s="197"/>
      <c r="J165" s="197"/>
      <c r="K165" s="197"/>
      <c r="L165" s="197"/>
      <c r="M165" s="197"/>
      <c r="N165" s="197"/>
      <c r="O165" s="197"/>
      <c r="P165" s="197"/>
      <c r="Q165" s="197"/>
      <c r="R165" s="197"/>
      <c r="S165" s="285"/>
      <c r="T165" s="280"/>
      <c r="U165" s="410"/>
      <c r="V165" s="429"/>
    </row>
    <row r="166" spans="1:22" s="1" customFormat="1" ht="16.5" x14ac:dyDescent="0.25">
      <c r="A166" s="543" t="s">
        <v>29</v>
      </c>
      <c r="B166" s="544"/>
      <c r="C166" s="544"/>
      <c r="D166" s="544"/>
      <c r="E166" s="544"/>
      <c r="F166" s="544"/>
      <c r="G166" s="544"/>
      <c r="H166" s="544"/>
      <c r="I166" s="544"/>
      <c r="J166" s="544"/>
      <c r="K166" s="544"/>
      <c r="L166" s="544"/>
      <c r="M166" s="544"/>
      <c r="N166" s="544"/>
      <c r="O166" s="544"/>
      <c r="P166" s="544"/>
      <c r="Q166" s="544"/>
      <c r="R166" s="544"/>
      <c r="S166" s="544"/>
      <c r="T166" s="544"/>
      <c r="U166" s="544"/>
      <c r="V166" s="545"/>
    </row>
    <row r="167" spans="1:22" s="1" customFormat="1" ht="17.25" thickBot="1" x14ac:dyDescent="0.25">
      <c r="A167" s="540">
        <v>164</v>
      </c>
      <c r="B167" s="541"/>
      <c r="C167" s="541"/>
      <c r="D167" s="541"/>
      <c r="E167" s="541"/>
      <c r="F167" s="541"/>
      <c r="G167" s="541"/>
      <c r="H167" s="541"/>
      <c r="I167" s="541"/>
      <c r="J167" s="541"/>
      <c r="K167" s="541"/>
      <c r="L167" s="541"/>
      <c r="M167" s="541"/>
      <c r="N167" s="541"/>
      <c r="O167" s="541"/>
      <c r="P167" s="541"/>
      <c r="Q167" s="541"/>
      <c r="R167" s="541"/>
      <c r="S167" s="541"/>
      <c r="T167" s="541"/>
      <c r="U167" s="541"/>
      <c r="V167" s="542"/>
    </row>
    <row r="168" spans="1:22" s="1" customFormat="1" ht="16.5" x14ac:dyDescent="0.25">
      <c r="A168" s="211"/>
      <c r="B168" s="169"/>
      <c r="C168" s="167"/>
      <c r="D168" s="167" t="s">
        <v>117</v>
      </c>
      <c r="E168" s="167"/>
      <c r="F168" s="168">
        <v>12006</v>
      </c>
      <c r="G168" s="169"/>
      <c r="H168" s="167">
        <v>12100</v>
      </c>
      <c r="I168" s="167">
        <v>12100</v>
      </c>
      <c r="J168" s="167">
        <v>12101</v>
      </c>
      <c r="K168" s="168">
        <v>12101</v>
      </c>
      <c r="L168" s="199"/>
      <c r="M168" s="385"/>
      <c r="N168" s="169"/>
      <c r="O168" s="167"/>
      <c r="P168" s="167">
        <v>120</v>
      </c>
      <c r="Q168" s="167">
        <v>12100</v>
      </c>
      <c r="R168" s="167">
        <v>12101</v>
      </c>
      <c r="S168" s="168"/>
      <c r="T168" s="167"/>
      <c r="U168" s="296"/>
      <c r="V168" s="406"/>
    </row>
    <row r="169" spans="1:22" s="1" customFormat="1" ht="16.5" x14ac:dyDescent="0.25">
      <c r="A169" s="454"/>
      <c r="B169" s="510" t="s">
        <v>123</v>
      </c>
      <c r="C169" s="511"/>
      <c r="D169" s="511"/>
      <c r="E169" s="511"/>
      <c r="F169" s="512"/>
      <c r="G169" s="574" t="s">
        <v>124</v>
      </c>
      <c r="H169" s="513"/>
      <c r="I169" s="513"/>
      <c r="J169" s="513"/>
      <c r="K169" s="575"/>
      <c r="L169" s="564" t="s">
        <v>132</v>
      </c>
      <c r="M169" s="565" t="s">
        <v>133</v>
      </c>
      <c r="N169" s="578" t="s">
        <v>2</v>
      </c>
      <c r="O169" s="566"/>
      <c r="P169" s="566"/>
      <c r="Q169" s="566"/>
      <c r="R169" s="566"/>
      <c r="S169" s="573"/>
      <c r="T169" s="279"/>
      <c r="U169" s="280"/>
      <c r="V169" s="407"/>
    </row>
    <row r="170" spans="1:22" s="1" customFormat="1" ht="33.75" thickBot="1" x14ac:dyDescent="0.25">
      <c r="A170" s="212"/>
      <c r="B170" s="268" t="s">
        <v>6</v>
      </c>
      <c r="C170" s="173" t="s">
        <v>144</v>
      </c>
      <c r="D170" s="173" t="s">
        <v>139</v>
      </c>
      <c r="E170" s="173" t="s">
        <v>145</v>
      </c>
      <c r="F170" s="174" t="s">
        <v>140</v>
      </c>
      <c r="G170" s="175" t="s">
        <v>9</v>
      </c>
      <c r="H170" s="173" t="s">
        <v>136</v>
      </c>
      <c r="I170" s="173" t="s">
        <v>135</v>
      </c>
      <c r="J170" s="173" t="s">
        <v>134</v>
      </c>
      <c r="K170" s="174" t="s">
        <v>137</v>
      </c>
      <c r="L170" s="552"/>
      <c r="M170" s="554"/>
      <c r="N170" s="268" t="s">
        <v>10</v>
      </c>
      <c r="O170" s="173" t="s">
        <v>11</v>
      </c>
      <c r="P170" s="173" t="s">
        <v>120</v>
      </c>
      <c r="Q170" s="173" t="s">
        <v>122</v>
      </c>
      <c r="R170" s="173" t="s">
        <v>121</v>
      </c>
      <c r="S170" s="174" t="s">
        <v>116</v>
      </c>
      <c r="T170" s="283" t="s">
        <v>141</v>
      </c>
      <c r="U170" s="173" t="s">
        <v>143</v>
      </c>
      <c r="V170" s="176" t="s">
        <v>142</v>
      </c>
    </row>
    <row r="171" spans="1:22" s="1" customFormat="1" ht="16.5" x14ac:dyDescent="0.2">
      <c r="A171" s="213"/>
      <c r="B171" s="269"/>
      <c r="C171" s="214"/>
      <c r="D171" s="214"/>
      <c r="E171" s="214"/>
      <c r="F171" s="215"/>
      <c r="G171" s="216"/>
      <c r="H171" s="217"/>
      <c r="I171" s="214"/>
      <c r="J171" s="214"/>
      <c r="K171" s="215"/>
      <c r="L171" s="218"/>
      <c r="M171" s="423"/>
      <c r="N171" s="269"/>
      <c r="O171" s="284"/>
      <c r="P171" s="284"/>
      <c r="Q171" s="214"/>
      <c r="R171" s="214"/>
      <c r="S171" s="215"/>
      <c r="T171" s="214"/>
      <c r="U171" s="214"/>
      <c r="V171" s="424"/>
    </row>
    <row r="172" spans="1:22" s="33" customFormat="1" ht="20.100000000000001" customHeight="1" x14ac:dyDescent="0.25">
      <c r="A172" s="454" t="s">
        <v>239</v>
      </c>
      <c r="B172" s="251" t="s">
        <v>26</v>
      </c>
      <c r="C172" s="166">
        <f>'RETRIBUCIONES 2025'!$G$4</f>
        <v>656.23</v>
      </c>
      <c r="D172" s="166">
        <f>C172*12</f>
        <v>7874.76</v>
      </c>
      <c r="E172" s="166">
        <f>'RETRIBUCIONES 2025'!$G$5*2</f>
        <v>32.32</v>
      </c>
      <c r="F172" s="235">
        <f>E172*12</f>
        <v>387.84000000000003</v>
      </c>
      <c r="G172" s="220">
        <v>14</v>
      </c>
      <c r="H172" s="166">
        <f>'RETRIBUCIONES 2025'!$G$14</f>
        <v>364.97</v>
      </c>
      <c r="I172" s="166">
        <f>H172*12</f>
        <v>4379.6400000000003</v>
      </c>
      <c r="J172" s="166">
        <v>612.79999999999995</v>
      </c>
      <c r="K172" s="281">
        <f>J172*12</f>
        <v>7353.5999999999995</v>
      </c>
      <c r="L172" s="201">
        <f>C172+E172+H172+J172</f>
        <v>1666.32</v>
      </c>
      <c r="M172" s="390">
        <f>D172+F172+I172+K172</f>
        <v>19995.84</v>
      </c>
      <c r="N172" s="219">
        <f>'RETRIBUCIONES 2025'!$G$9</f>
        <v>656.23</v>
      </c>
      <c r="O172" s="166">
        <f>'RETRIBUCIONES 2025'!$G$10*2</f>
        <v>32.32</v>
      </c>
      <c r="P172" s="285">
        <f>SUM(N172:O172)</f>
        <v>688.55000000000007</v>
      </c>
      <c r="Q172" s="285">
        <f>H172</f>
        <v>364.97</v>
      </c>
      <c r="R172" s="285">
        <f>J172</f>
        <v>612.79999999999995</v>
      </c>
      <c r="S172" s="281">
        <f>SUM(P172:R172)</f>
        <v>1666.32</v>
      </c>
      <c r="T172" s="285">
        <f>M172+S172*2</f>
        <v>23328.48</v>
      </c>
      <c r="U172" s="285">
        <f>T172*0.33</f>
        <v>7698.3984</v>
      </c>
      <c r="V172" s="407">
        <f>SUM(T172:U172)</f>
        <v>31026.878400000001</v>
      </c>
    </row>
    <row r="173" spans="1:22" s="1" customFormat="1" ht="16.5" x14ac:dyDescent="0.25">
      <c r="A173" s="454"/>
      <c r="B173" s="251"/>
      <c r="C173" s="166"/>
      <c r="D173" s="166"/>
      <c r="E173" s="166"/>
      <c r="F173" s="177"/>
      <c r="G173" s="220"/>
      <c r="H173" s="166"/>
      <c r="I173" s="166"/>
      <c r="J173" s="166"/>
      <c r="K173" s="281"/>
      <c r="L173" s="201"/>
      <c r="M173" s="408"/>
      <c r="N173" s="219"/>
      <c r="O173" s="285"/>
      <c r="P173" s="285"/>
      <c r="Q173" s="285"/>
      <c r="R173" s="285"/>
      <c r="S173" s="281"/>
      <c r="T173" s="285"/>
      <c r="U173" s="285"/>
      <c r="V173" s="407"/>
    </row>
    <row r="174" spans="1:22" s="1" customFormat="1" ht="16.5" x14ac:dyDescent="0.25">
      <c r="A174" s="456" t="s">
        <v>72</v>
      </c>
      <c r="B174" s="257"/>
      <c r="C174" s="190">
        <f>SUM(C172:C173)</f>
        <v>656.23</v>
      </c>
      <c r="D174" s="190">
        <f t="shared" ref="D174:F174" si="51">SUM(D172:D173)</f>
        <v>7874.76</v>
      </c>
      <c r="E174" s="190">
        <f t="shared" si="51"/>
        <v>32.32</v>
      </c>
      <c r="F174" s="221">
        <f t="shared" si="51"/>
        <v>387.84000000000003</v>
      </c>
      <c r="G174" s="222"/>
      <c r="H174" s="190">
        <f>SUM(H172:H173)</f>
        <v>364.97</v>
      </c>
      <c r="I174" s="190">
        <f t="shared" ref="I174:V174" si="52">SUM(I172:I173)</f>
        <v>4379.6400000000003</v>
      </c>
      <c r="J174" s="190">
        <f t="shared" si="52"/>
        <v>612.79999999999995</v>
      </c>
      <c r="K174" s="221">
        <f t="shared" si="52"/>
        <v>7353.5999999999995</v>
      </c>
      <c r="L174" s="222">
        <f t="shared" si="52"/>
        <v>1666.32</v>
      </c>
      <c r="M174" s="221">
        <f t="shared" si="52"/>
        <v>19995.84</v>
      </c>
      <c r="N174" s="222">
        <f t="shared" si="52"/>
        <v>656.23</v>
      </c>
      <c r="O174" s="190">
        <f t="shared" si="52"/>
        <v>32.32</v>
      </c>
      <c r="P174" s="190">
        <f t="shared" si="52"/>
        <v>688.55000000000007</v>
      </c>
      <c r="Q174" s="190">
        <f t="shared" si="52"/>
        <v>364.97</v>
      </c>
      <c r="R174" s="190">
        <f t="shared" si="52"/>
        <v>612.79999999999995</v>
      </c>
      <c r="S174" s="221">
        <f t="shared" si="52"/>
        <v>1666.32</v>
      </c>
      <c r="T174" s="190">
        <f t="shared" si="52"/>
        <v>23328.48</v>
      </c>
      <c r="U174" s="190">
        <f t="shared" si="52"/>
        <v>7698.3984</v>
      </c>
      <c r="V174" s="221">
        <f t="shared" si="52"/>
        <v>31026.878400000001</v>
      </c>
    </row>
    <row r="175" spans="1:22" s="1" customFormat="1" ht="17.25" thickBot="1" x14ac:dyDescent="0.3">
      <c r="A175" s="459"/>
      <c r="B175" s="299"/>
      <c r="C175" s="194" t="s">
        <v>150</v>
      </c>
      <c r="D175" s="194"/>
      <c r="E175" s="194" t="s">
        <v>151</v>
      </c>
      <c r="F175" s="195"/>
      <c r="G175" s="196"/>
      <c r="H175" s="194"/>
      <c r="I175" s="194" t="s">
        <v>152</v>
      </c>
      <c r="J175" s="194"/>
      <c r="K175" s="195" t="s">
        <v>153</v>
      </c>
      <c r="L175" s="209"/>
      <c r="M175" s="403"/>
      <c r="N175" s="196"/>
      <c r="O175" s="194"/>
      <c r="P175" s="194" t="s">
        <v>150</v>
      </c>
      <c r="Q175" s="194" t="s">
        <v>152</v>
      </c>
      <c r="R175" s="194" t="s">
        <v>153</v>
      </c>
      <c r="S175" s="289"/>
      <c r="T175" s="404"/>
      <c r="U175" s="421"/>
      <c r="V175" s="422"/>
    </row>
    <row r="176" spans="1:22" s="1" customFormat="1" ht="16.5" x14ac:dyDescent="0.25">
      <c r="A176" s="454"/>
      <c r="B176" s="293"/>
      <c r="C176" s="166"/>
      <c r="D176" s="166"/>
      <c r="E176" s="166"/>
      <c r="F176" s="166"/>
      <c r="G176" s="164"/>
      <c r="H176" s="165"/>
      <c r="I176" s="166"/>
      <c r="J176" s="166"/>
      <c r="K176" s="166"/>
      <c r="L176" s="166"/>
      <c r="M176" s="285"/>
      <c r="N176" s="285"/>
      <c r="O176" s="294"/>
      <c r="P176" s="294"/>
      <c r="Q176" s="285"/>
      <c r="R176" s="285"/>
      <c r="S176" s="285"/>
      <c r="T176" s="285"/>
      <c r="U176" s="285"/>
      <c r="V176" s="281"/>
    </row>
    <row r="177" spans="1:22" s="1" customFormat="1" ht="16.5" x14ac:dyDescent="0.25">
      <c r="A177" s="454"/>
      <c r="B177" s="293"/>
      <c r="C177" s="166"/>
      <c r="D177" s="166"/>
      <c r="E177" s="166"/>
      <c r="F177" s="166"/>
      <c r="G177" s="164"/>
      <c r="H177" s="165"/>
      <c r="I177" s="166"/>
      <c r="J177" s="166"/>
      <c r="K177" s="166"/>
      <c r="L177" s="166"/>
      <c r="M177" s="285"/>
      <c r="N177" s="285"/>
      <c r="O177" s="294"/>
      <c r="P177" s="294"/>
      <c r="Q177" s="285"/>
      <c r="R177" s="285"/>
      <c r="S177" s="285"/>
      <c r="T177" s="285"/>
      <c r="U177" s="285"/>
      <c r="V177" s="281"/>
    </row>
    <row r="178" spans="1:22" s="1" customFormat="1" ht="17.25" thickBot="1" x14ac:dyDescent="0.3">
      <c r="A178" s="454"/>
      <c r="B178" s="293"/>
      <c r="C178" s="166"/>
      <c r="D178" s="166"/>
      <c r="E178" s="166"/>
      <c r="F178" s="166"/>
      <c r="G178" s="164"/>
      <c r="H178" s="165"/>
      <c r="I178" s="166"/>
      <c r="J178" s="166"/>
      <c r="K178" s="166"/>
      <c r="L178" s="166"/>
      <c r="M178" s="285"/>
      <c r="N178" s="285"/>
      <c r="O178" s="294"/>
      <c r="P178" s="294"/>
      <c r="Q178" s="285"/>
      <c r="R178" s="285"/>
      <c r="S178" s="285"/>
      <c r="T178" s="285"/>
      <c r="U178" s="285"/>
      <c r="V178" s="281"/>
    </row>
    <row r="179" spans="1:22" s="1" customFormat="1" ht="17.25" thickBot="1" x14ac:dyDescent="0.3">
      <c r="A179" s="582" t="s">
        <v>30</v>
      </c>
      <c r="B179" s="583"/>
      <c r="C179" s="583"/>
      <c r="D179" s="583"/>
      <c r="E179" s="583"/>
      <c r="F179" s="583"/>
      <c r="G179" s="583"/>
      <c r="H179" s="583"/>
      <c r="I179" s="583"/>
      <c r="J179" s="583"/>
      <c r="K179" s="583"/>
      <c r="L179" s="583"/>
      <c r="M179" s="583"/>
      <c r="N179" s="583"/>
      <c r="O179" s="583"/>
      <c r="P179" s="583"/>
      <c r="Q179" s="583"/>
      <c r="R179" s="583"/>
      <c r="S179" s="583"/>
      <c r="T179" s="583"/>
      <c r="U179" s="583"/>
      <c r="V179" s="584"/>
    </row>
    <row r="180" spans="1:22" s="1" customFormat="1" ht="16.5" x14ac:dyDescent="0.25">
      <c r="A180" s="543" t="s">
        <v>73</v>
      </c>
      <c r="B180" s="544"/>
      <c r="C180" s="544"/>
      <c r="D180" s="544"/>
      <c r="E180" s="544"/>
      <c r="F180" s="544"/>
      <c r="G180" s="544"/>
      <c r="H180" s="544"/>
      <c r="I180" s="544"/>
      <c r="J180" s="544"/>
      <c r="K180" s="544"/>
      <c r="L180" s="544"/>
      <c r="M180" s="544"/>
      <c r="N180" s="544"/>
      <c r="O180" s="544"/>
      <c r="P180" s="544"/>
      <c r="Q180" s="544"/>
      <c r="R180" s="544"/>
      <c r="S180" s="544"/>
      <c r="T180" s="544"/>
      <c r="U180" s="544"/>
      <c r="V180" s="545"/>
    </row>
    <row r="181" spans="1:22" s="1" customFormat="1" ht="17.25" thickBot="1" x14ac:dyDescent="0.25">
      <c r="A181" s="540">
        <v>931</v>
      </c>
      <c r="B181" s="541"/>
      <c r="C181" s="541"/>
      <c r="D181" s="541"/>
      <c r="E181" s="541"/>
      <c r="F181" s="541"/>
      <c r="G181" s="541"/>
      <c r="H181" s="541"/>
      <c r="I181" s="541"/>
      <c r="J181" s="541"/>
      <c r="K181" s="541"/>
      <c r="L181" s="541"/>
      <c r="M181" s="541"/>
      <c r="N181" s="541"/>
      <c r="O181" s="541"/>
      <c r="P181" s="541"/>
      <c r="Q181" s="541"/>
      <c r="R181" s="541"/>
      <c r="S181" s="541"/>
      <c r="T181" s="541"/>
      <c r="U181" s="541"/>
      <c r="V181" s="542"/>
    </row>
    <row r="182" spans="1:22" s="1" customFormat="1" ht="16.5" x14ac:dyDescent="0.25">
      <c r="A182" s="198"/>
      <c r="B182" s="169"/>
      <c r="C182" s="167"/>
      <c r="D182" s="167" t="s">
        <v>117</v>
      </c>
      <c r="E182" s="167"/>
      <c r="F182" s="168">
        <v>12006</v>
      </c>
      <c r="G182" s="197"/>
      <c r="H182" s="197">
        <v>12100</v>
      </c>
      <c r="I182" s="197">
        <v>12100</v>
      </c>
      <c r="J182" s="197">
        <v>12101</v>
      </c>
      <c r="K182" s="197">
        <v>12101</v>
      </c>
      <c r="L182" s="199"/>
      <c r="M182" s="385"/>
      <c r="N182" s="197"/>
      <c r="O182" s="197"/>
      <c r="P182" s="197">
        <v>120</v>
      </c>
      <c r="Q182" s="197">
        <v>12100</v>
      </c>
      <c r="R182" s="197">
        <v>12101</v>
      </c>
      <c r="S182" s="197"/>
      <c r="T182" s="169"/>
      <c r="U182" s="296"/>
      <c r="V182" s="406"/>
    </row>
    <row r="183" spans="1:22" s="1" customFormat="1" ht="16.5" x14ac:dyDescent="0.25">
      <c r="A183" s="454"/>
      <c r="B183" s="510" t="s">
        <v>123</v>
      </c>
      <c r="C183" s="511"/>
      <c r="D183" s="511"/>
      <c r="E183" s="511"/>
      <c r="F183" s="512"/>
      <c r="G183" s="513" t="s">
        <v>124</v>
      </c>
      <c r="H183" s="513"/>
      <c r="I183" s="513"/>
      <c r="J183" s="513"/>
      <c r="K183" s="513"/>
      <c r="L183" s="564" t="s">
        <v>132</v>
      </c>
      <c r="M183" s="565" t="s">
        <v>133</v>
      </c>
      <c r="N183" s="566" t="s">
        <v>2</v>
      </c>
      <c r="O183" s="566"/>
      <c r="P183" s="566"/>
      <c r="Q183" s="566"/>
      <c r="R183" s="566"/>
      <c r="S183" s="566"/>
      <c r="T183" s="343"/>
      <c r="U183" s="280"/>
      <c r="V183" s="407"/>
    </row>
    <row r="184" spans="1:22" s="33" customFormat="1" ht="33.75" thickBot="1" x14ac:dyDescent="0.3">
      <c r="A184" s="212"/>
      <c r="B184" s="268" t="s">
        <v>6</v>
      </c>
      <c r="C184" s="173" t="s">
        <v>144</v>
      </c>
      <c r="D184" s="173" t="s">
        <v>139</v>
      </c>
      <c r="E184" s="173" t="s">
        <v>145</v>
      </c>
      <c r="F184" s="174" t="s">
        <v>140</v>
      </c>
      <c r="G184" s="200" t="s">
        <v>9</v>
      </c>
      <c r="H184" s="173" t="s">
        <v>136</v>
      </c>
      <c r="I184" s="173" t="s">
        <v>135</v>
      </c>
      <c r="J184" s="173" t="s">
        <v>134</v>
      </c>
      <c r="K184" s="173" t="s">
        <v>137</v>
      </c>
      <c r="L184" s="552"/>
      <c r="M184" s="554"/>
      <c r="N184" s="173" t="s">
        <v>10</v>
      </c>
      <c r="O184" s="173" t="s">
        <v>11</v>
      </c>
      <c r="P184" s="173" t="s">
        <v>120</v>
      </c>
      <c r="Q184" s="173" t="s">
        <v>122</v>
      </c>
      <c r="R184" s="173" t="s">
        <v>121</v>
      </c>
      <c r="S184" s="173" t="s">
        <v>116</v>
      </c>
      <c r="T184" s="303" t="s">
        <v>141</v>
      </c>
      <c r="U184" s="173" t="s">
        <v>143</v>
      </c>
      <c r="V184" s="176" t="s">
        <v>142</v>
      </c>
    </row>
    <row r="185" spans="1:22" s="1" customFormat="1" ht="16.5" x14ac:dyDescent="0.2">
      <c r="A185" s="213"/>
      <c r="B185" s="269"/>
      <c r="C185" s="214"/>
      <c r="D185" s="214"/>
      <c r="E185" s="214"/>
      <c r="F185" s="215"/>
      <c r="G185" s="231"/>
      <c r="H185" s="217"/>
      <c r="I185" s="214"/>
      <c r="J185" s="214"/>
      <c r="K185" s="214"/>
      <c r="L185" s="218"/>
      <c r="M185" s="423"/>
      <c r="N185" s="214"/>
      <c r="O185" s="284"/>
      <c r="P185" s="284"/>
      <c r="Q185" s="214"/>
      <c r="R185" s="214"/>
      <c r="S185" s="214"/>
      <c r="T185" s="269"/>
      <c r="U185" s="214"/>
      <c r="V185" s="424"/>
    </row>
    <row r="186" spans="1:22" s="33" customFormat="1" ht="20.100000000000001" customHeight="1" x14ac:dyDescent="0.25">
      <c r="A186" s="454" t="s">
        <v>238</v>
      </c>
      <c r="B186" s="251" t="s">
        <v>12</v>
      </c>
      <c r="C186" s="166">
        <f>'RETRIBUCIONES 2025'!$B$4</f>
        <v>1326.9</v>
      </c>
      <c r="D186" s="166">
        <f>C186*12</f>
        <v>15922.800000000001</v>
      </c>
      <c r="E186" s="166">
        <f>'RETRIBUCIONES 2025'!B5</f>
        <v>51.07</v>
      </c>
      <c r="F186" s="177">
        <f>E186*12</f>
        <v>612.84</v>
      </c>
      <c r="G186" s="165">
        <v>30</v>
      </c>
      <c r="H186" s="166">
        <f>'RETRIBUCIONES 2025'!W14</f>
        <v>1159.06</v>
      </c>
      <c r="I186" s="166">
        <f>H186*12</f>
        <v>13908.72</v>
      </c>
      <c r="J186" s="166">
        <v>2451.0100000000002</v>
      </c>
      <c r="K186" s="285">
        <f>J186*12</f>
        <v>29412.120000000003</v>
      </c>
      <c r="L186" s="201">
        <f>C186+E186+H186+J186</f>
        <v>4988.04</v>
      </c>
      <c r="M186" s="408">
        <f>D186+F186+I186+K186</f>
        <v>59856.480000000003</v>
      </c>
      <c r="N186" s="285">
        <f>'RETRIBUCIONES 2025'!$B$9</f>
        <v>818.82</v>
      </c>
      <c r="O186" s="285">
        <f>'RETRIBUCIONES 2025'!B10</f>
        <v>31.53</v>
      </c>
      <c r="P186" s="285">
        <f>SUM(N186:O186)</f>
        <v>850.35</v>
      </c>
      <c r="Q186" s="285">
        <f>H186</f>
        <v>1159.06</v>
      </c>
      <c r="R186" s="285">
        <f>J186</f>
        <v>2451.0100000000002</v>
      </c>
      <c r="S186" s="285">
        <f>SUM(P186:R186)</f>
        <v>4460.42</v>
      </c>
      <c r="T186" s="219">
        <f>M186+S186*2</f>
        <v>68777.320000000007</v>
      </c>
      <c r="U186" s="285">
        <f>T186*0.33</f>
        <v>22696.515600000002</v>
      </c>
      <c r="V186" s="407">
        <f>SUM(T186:U186)</f>
        <v>91473.835600000006</v>
      </c>
    </row>
    <row r="187" spans="1:22" s="1" customFormat="1" ht="16.5" x14ac:dyDescent="0.25">
      <c r="A187" s="454"/>
      <c r="B187" s="251"/>
      <c r="C187" s="166"/>
      <c r="D187" s="166"/>
      <c r="E187" s="166"/>
      <c r="F187" s="177"/>
      <c r="G187" s="165"/>
      <c r="H187" s="166"/>
      <c r="I187" s="166"/>
      <c r="J187" s="166"/>
      <c r="K187" s="285"/>
      <c r="L187" s="201"/>
      <c r="M187" s="408"/>
      <c r="N187" s="285"/>
      <c r="O187" s="285"/>
      <c r="P187" s="285"/>
      <c r="Q187" s="285"/>
      <c r="R187" s="285"/>
      <c r="S187" s="285"/>
      <c r="T187" s="219"/>
      <c r="U187" s="285"/>
      <c r="V187" s="407"/>
    </row>
    <row r="188" spans="1:22" s="4" customFormat="1" ht="16.5" x14ac:dyDescent="0.25">
      <c r="A188" s="455" t="s">
        <v>18</v>
      </c>
      <c r="B188" s="255"/>
      <c r="C188" s="183">
        <f>SUM(C186)</f>
        <v>1326.9</v>
      </c>
      <c r="D188" s="183">
        <f t="shared" ref="D188:V188" si="53">SUM(D186)</f>
        <v>15922.800000000001</v>
      </c>
      <c r="E188" s="183">
        <f t="shared" si="53"/>
        <v>51.07</v>
      </c>
      <c r="F188" s="232">
        <f t="shared" si="53"/>
        <v>612.84</v>
      </c>
      <c r="G188" s="183"/>
      <c r="H188" s="183">
        <f t="shared" si="53"/>
        <v>1159.06</v>
      </c>
      <c r="I188" s="183">
        <f t="shared" si="53"/>
        <v>13908.72</v>
      </c>
      <c r="J188" s="183">
        <f t="shared" si="53"/>
        <v>2451.0100000000002</v>
      </c>
      <c r="K188" s="183">
        <f t="shared" si="53"/>
        <v>29412.120000000003</v>
      </c>
      <c r="L188" s="187">
        <f t="shared" si="53"/>
        <v>4988.04</v>
      </c>
      <c r="M188" s="232">
        <f t="shared" si="53"/>
        <v>59856.480000000003</v>
      </c>
      <c r="N188" s="183">
        <f t="shared" si="53"/>
        <v>818.82</v>
      </c>
      <c r="O188" s="183">
        <f t="shared" si="53"/>
        <v>31.53</v>
      </c>
      <c r="P188" s="183">
        <f t="shared" si="53"/>
        <v>850.35</v>
      </c>
      <c r="Q188" s="183">
        <f t="shared" si="53"/>
        <v>1159.06</v>
      </c>
      <c r="R188" s="183">
        <f t="shared" si="53"/>
        <v>2451.0100000000002</v>
      </c>
      <c r="S188" s="183">
        <f t="shared" si="53"/>
        <v>4460.42</v>
      </c>
      <c r="T188" s="187">
        <f t="shared" si="53"/>
        <v>68777.320000000007</v>
      </c>
      <c r="U188" s="183">
        <f t="shared" si="53"/>
        <v>22696.515600000002</v>
      </c>
      <c r="V188" s="232">
        <f t="shared" si="53"/>
        <v>91473.835600000006</v>
      </c>
    </row>
    <row r="189" spans="1:22" s="4" customFormat="1" ht="16.5" x14ac:dyDescent="0.25">
      <c r="A189" s="453"/>
      <c r="B189" s="256"/>
      <c r="C189" s="188"/>
      <c r="D189" s="188"/>
      <c r="E189" s="188"/>
      <c r="F189" s="235"/>
      <c r="G189" s="236"/>
      <c r="H189" s="188"/>
      <c r="I189" s="188"/>
      <c r="J189" s="188"/>
      <c r="K189" s="294"/>
      <c r="L189" s="237"/>
      <c r="M189" s="390"/>
      <c r="N189" s="188"/>
      <c r="O189" s="294"/>
      <c r="P189" s="294"/>
      <c r="Q189" s="294"/>
      <c r="R189" s="294"/>
      <c r="S189" s="294"/>
      <c r="T189" s="305"/>
      <c r="U189" s="294"/>
      <c r="V189" s="386"/>
    </row>
    <row r="190" spans="1:22" s="4" customFormat="1" ht="16.5" x14ac:dyDescent="0.25">
      <c r="A190" s="454" t="s">
        <v>241</v>
      </c>
      <c r="B190" s="251" t="s">
        <v>13</v>
      </c>
      <c r="C190" s="166">
        <f>'RETRIBUCIONES 2025'!C4</f>
        <v>1147.3499999999999</v>
      </c>
      <c r="D190" s="166">
        <f>C190*12</f>
        <v>13768.199999999999</v>
      </c>
      <c r="E190" s="166">
        <f>'RETRIBUCIONES 2025'!$E$5*3+'RETRIBUCIONES 2025'!$F$5*4</f>
        <v>180.43</v>
      </c>
      <c r="F190" s="177">
        <f>E190*12</f>
        <v>2165.16</v>
      </c>
      <c r="G190" s="165" t="s">
        <v>100</v>
      </c>
      <c r="H190" s="166">
        <f>'RETRIBUCIONES 2025'!R14</f>
        <v>741.15</v>
      </c>
      <c r="I190" s="166">
        <f>H190*12</f>
        <v>8893.7999999999993</v>
      </c>
      <c r="J190" s="166">
        <v>1458.62</v>
      </c>
      <c r="K190" s="285">
        <f>J190*12</f>
        <v>17503.439999999999</v>
      </c>
      <c r="L190" s="201">
        <f>C190+E190+H190+J190</f>
        <v>3527.5499999999997</v>
      </c>
      <c r="M190" s="408">
        <f>D190+F190+I190+K190</f>
        <v>42330.599999999991</v>
      </c>
      <c r="N190" s="285">
        <f>'RETRIBUCIONES 2025'!C9</f>
        <v>836.78</v>
      </c>
      <c r="O190" s="166">
        <f>('RETRIBUCIONES 2025'!$C$10*2)+('RETRIBUCIONES 2025'!$B$10*10)</f>
        <v>376.04</v>
      </c>
      <c r="P190" s="285">
        <f>SUM(N190:O190)</f>
        <v>1212.82</v>
      </c>
      <c r="Q190" s="285">
        <f>H190</f>
        <v>741.15</v>
      </c>
      <c r="R190" s="285">
        <f>J190</f>
        <v>1458.62</v>
      </c>
      <c r="S190" s="285">
        <f>SUM(P190:R190)</f>
        <v>3412.5899999999997</v>
      </c>
      <c r="T190" s="219">
        <f>M190+S190*2</f>
        <v>49155.779999999992</v>
      </c>
      <c r="U190" s="285">
        <f>T190*0.33</f>
        <v>16221.407399999998</v>
      </c>
      <c r="V190" s="407">
        <f>SUM(T190:U190)</f>
        <v>65377.187399999988</v>
      </c>
    </row>
    <row r="191" spans="1:22" s="4" customFormat="1" ht="16.5" x14ac:dyDescent="0.25">
      <c r="A191" s="453"/>
      <c r="B191" s="256"/>
      <c r="C191" s="188"/>
      <c r="D191" s="188"/>
      <c r="E191" s="188"/>
      <c r="F191" s="235"/>
      <c r="G191" s="236"/>
      <c r="H191" s="188"/>
      <c r="I191" s="188"/>
      <c r="J191" s="188"/>
      <c r="K191" s="294"/>
      <c r="L191" s="237"/>
      <c r="M191" s="390"/>
      <c r="N191" s="188"/>
      <c r="O191" s="294"/>
      <c r="P191" s="294"/>
      <c r="Q191" s="294"/>
      <c r="R191" s="294"/>
      <c r="S191" s="294"/>
      <c r="T191" s="305"/>
      <c r="U191" s="294"/>
      <c r="V191" s="386"/>
    </row>
    <row r="192" spans="1:22" s="4" customFormat="1" ht="16.5" x14ac:dyDescent="0.25">
      <c r="A192" s="455" t="s">
        <v>19</v>
      </c>
      <c r="B192" s="255"/>
      <c r="C192" s="183">
        <f>SUM(C190)</f>
        <v>1147.3499999999999</v>
      </c>
      <c r="D192" s="183">
        <f t="shared" ref="D192:V192" si="54">SUM(D190)</f>
        <v>13768.199999999999</v>
      </c>
      <c r="E192" s="183">
        <f t="shared" si="54"/>
        <v>180.43</v>
      </c>
      <c r="F192" s="232">
        <f t="shared" si="54"/>
        <v>2165.16</v>
      </c>
      <c r="G192" s="183"/>
      <c r="H192" s="183">
        <f t="shared" si="54"/>
        <v>741.15</v>
      </c>
      <c r="I192" s="183">
        <f t="shared" si="54"/>
        <v>8893.7999999999993</v>
      </c>
      <c r="J192" s="183">
        <f t="shared" si="54"/>
        <v>1458.62</v>
      </c>
      <c r="K192" s="183">
        <f t="shared" si="54"/>
        <v>17503.439999999999</v>
      </c>
      <c r="L192" s="187">
        <f t="shared" si="54"/>
        <v>3527.5499999999997</v>
      </c>
      <c r="M192" s="232">
        <f t="shared" si="54"/>
        <v>42330.599999999991</v>
      </c>
      <c r="N192" s="183">
        <f t="shared" si="54"/>
        <v>836.78</v>
      </c>
      <c r="O192" s="183">
        <f t="shared" si="54"/>
        <v>376.04</v>
      </c>
      <c r="P192" s="183">
        <f t="shared" si="54"/>
        <v>1212.82</v>
      </c>
      <c r="Q192" s="183">
        <f t="shared" si="54"/>
        <v>741.15</v>
      </c>
      <c r="R192" s="183">
        <f t="shared" si="54"/>
        <v>1458.62</v>
      </c>
      <c r="S192" s="183">
        <f t="shared" si="54"/>
        <v>3412.5899999999997</v>
      </c>
      <c r="T192" s="187">
        <f t="shared" si="54"/>
        <v>49155.779999999992</v>
      </c>
      <c r="U192" s="183">
        <f t="shared" si="54"/>
        <v>16221.407399999998</v>
      </c>
      <c r="V192" s="232">
        <f t="shared" si="54"/>
        <v>65377.187399999988</v>
      </c>
    </row>
    <row r="193" spans="1:22" s="1" customFormat="1" ht="16.5" x14ac:dyDescent="0.25">
      <c r="A193" s="453"/>
      <c r="B193" s="251"/>
      <c r="C193" s="166"/>
      <c r="D193" s="166"/>
      <c r="E193" s="166"/>
      <c r="F193" s="177"/>
      <c r="G193" s="165"/>
      <c r="H193" s="166"/>
      <c r="I193" s="166"/>
      <c r="J193" s="166"/>
      <c r="K193" s="285"/>
      <c r="L193" s="201"/>
      <c r="M193" s="408"/>
      <c r="N193" s="285"/>
      <c r="O193" s="285"/>
      <c r="P193" s="285"/>
      <c r="Q193" s="285"/>
      <c r="R193" s="285"/>
      <c r="S193" s="285"/>
      <c r="T193" s="219"/>
      <c r="U193" s="285"/>
      <c r="V193" s="407"/>
    </row>
    <row r="194" spans="1:22" s="1" customFormat="1" ht="16.5" x14ac:dyDescent="0.25">
      <c r="A194" s="454" t="s">
        <v>237</v>
      </c>
      <c r="B194" s="251" t="s">
        <v>15</v>
      </c>
      <c r="C194" s="166">
        <f>'RETRIBUCIONES 2025'!$E$4</f>
        <v>861.46</v>
      </c>
      <c r="D194" s="166">
        <f t="shared" ref="D194:D202" si="55">C194*12</f>
        <v>10337.52</v>
      </c>
      <c r="E194" s="166">
        <f>'RETRIBUCIONES 2025'!$E$5*3</f>
        <v>94.59</v>
      </c>
      <c r="F194" s="177">
        <f t="shared" ref="F194:F202" si="56">E194*12</f>
        <v>1135.08</v>
      </c>
      <c r="G194" s="165">
        <v>20</v>
      </c>
      <c r="H194" s="166">
        <f>'RETRIBUCIONES 2025'!$M$14</f>
        <v>526.09</v>
      </c>
      <c r="I194" s="166">
        <f t="shared" ref="I194:I202" si="57">H194*12</f>
        <v>6313.08</v>
      </c>
      <c r="J194" s="166">
        <v>817.02</v>
      </c>
      <c r="K194" s="285">
        <f t="shared" ref="K194:K202" si="58">J194*12</f>
        <v>9804.24</v>
      </c>
      <c r="L194" s="201">
        <f t="shared" ref="L194:L202" si="59">C194+E194+H194+J194</f>
        <v>2299.16</v>
      </c>
      <c r="M194" s="408">
        <f t="shared" ref="M194:M202" si="60">D194+F194+I194+K194</f>
        <v>27589.919999999998</v>
      </c>
      <c r="N194" s="285">
        <f>'RETRIBUCIONES 2025'!$E$9</f>
        <v>744.56</v>
      </c>
      <c r="O194" s="166">
        <f>'RETRIBUCIONES 2025'!$E$10*3</f>
        <v>81.63</v>
      </c>
      <c r="P194" s="285">
        <f>SUM(N194:O194)</f>
        <v>826.18999999999994</v>
      </c>
      <c r="Q194" s="285">
        <f t="shared" ref="Q194:Q202" si="61">H194</f>
        <v>526.09</v>
      </c>
      <c r="R194" s="285">
        <f t="shared" ref="R194:R202" si="62">J194</f>
        <v>817.02</v>
      </c>
      <c r="S194" s="285">
        <f t="shared" ref="S194:S202" si="63">SUM(P194:R194)</f>
        <v>2169.3000000000002</v>
      </c>
      <c r="T194" s="219">
        <f t="shared" ref="T194:T202" si="64">M194+S194*2</f>
        <v>31928.519999999997</v>
      </c>
      <c r="U194" s="285">
        <f t="shared" ref="U194:U202" si="65">T194*0.33</f>
        <v>10536.411599999999</v>
      </c>
      <c r="V194" s="407">
        <f t="shared" ref="V194:V202" si="66">SUM(T194:U194)</f>
        <v>42464.931599999996</v>
      </c>
    </row>
    <row r="195" spans="1:22" s="1" customFormat="1" ht="16.5" x14ac:dyDescent="0.25">
      <c r="A195" s="454"/>
      <c r="B195" s="251"/>
      <c r="C195" s="166"/>
      <c r="D195" s="166"/>
      <c r="E195" s="166"/>
      <c r="F195" s="177"/>
      <c r="G195" s="165"/>
      <c r="H195" s="166"/>
      <c r="I195" s="166"/>
      <c r="J195" s="166"/>
      <c r="K195" s="285"/>
      <c r="L195" s="201"/>
      <c r="M195" s="408"/>
      <c r="N195" s="285"/>
      <c r="O195" s="285"/>
      <c r="P195" s="285"/>
      <c r="Q195" s="285"/>
      <c r="R195" s="285"/>
      <c r="S195" s="285"/>
      <c r="T195" s="219"/>
      <c r="U195" s="285"/>
      <c r="V195" s="407"/>
    </row>
    <row r="196" spans="1:22" s="4" customFormat="1" ht="16.5" x14ac:dyDescent="0.25">
      <c r="A196" s="455" t="s">
        <v>20</v>
      </c>
      <c r="B196" s="255"/>
      <c r="C196" s="183">
        <f>SUM(C194)</f>
        <v>861.46</v>
      </c>
      <c r="D196" s="183">
        <f t="shared" si="55"/>
        <v>10337.52</v>
      </c>
      <c r="E196" s="183">
        <f>SUM(E194)</f>
        <v>94.59</v>
      </c>
      <c r="F196" s="232">
        <f t="shared" si="56"/>
        <v>1135.08</v>
      </c>
      <c r="G196" s="203"/>
      <c r="H196" s="183">
        <f>SUM(H194:H195)</f>
        <v>526.09</v>
      </c>
      <c r="I196" s="183">
        <f t="shared" si="57"/>
        <v>6313.08</v>
      </c>
      <c r="J196" s="183">
        <f>SUM(J194:J195)</f>
        <v>817.02</v>
      </c>
      <c r="K196" s="395">
        <f t="shared" si="58"/>
        <v>9804.24</v>
      </c>
      <c r="L196" s="187">
        <f t="shared" si="59"/>
        <v>2299.16</v>
      </c>
      <c r="M196" s="391">
        <f t="shared" si="60"/>
        <v>27589.919999999998</v>
      </c>
      <c r="N196" s="183">
        <f>SUM(N194:N195)</f>
        <v>744.56</v>
      </c>
      <c r="O196" s="183">
        <f>SUM(O194)</f>
        <v>81.63</v>
      </c>
      <c r="P196" s="183">
        <f>SUM(N196:O196)</f>
        <v>826.18999999999994</v>
      </c>
      <c r="Q196" s="395">
        <f t="shared" si="61"/>
        <v>526.09</v>
      </c>
      <c r="R196" s="395">
        <f t="shared" si="62"/>
        <v>817.02</v>
      </c>
      <c r="S196" s="395">
        <f t="shared" si="63"/>
        <v>2169.3000000000002</v>
      </c>
      <c r="T196" s="306">
        <f t="shared" si="64"/>
        <v>31928.519999999997</v>
      </c>
      <c r="U196" s="395">
        <f t="shared" si="65"/>
        <v>10536.411599999999</v>
      </c>
      <c r="V196" s="391">
        <f t="shared" si="66"/>
        <v>42464.931599999996</v>
      </c>
    </row>
    <row r="197" spans="1:22" s="1" customFormat="1" ht="16.5" x14ac:dyDescent="0.25">
      <c r="A197" s="454"/>
      <c r="B197" s="251"/>
      <c r="C197" s="166"/>
      <c r="D197" s="166"/>
      <c r="E197" s="166"/>
      <c r="F197" s="177"/>
      <c r="G197" s="165"/>
      <c r="H197" s="166"/>
      <c r="I197" s="166"/>
      <c r="J197" s="166"/>
      <c r="K197" s="285"/>
      <c r="L197" s="201"/>
      <c r="M197" s="408"/>
      <c r="N197" s="285"/>
      <c r="O197" s="285"/>
      <c r="P197" s="285"/>
      <c r="Q197" s="285"/>
      <c r="R197" s="285"/>
      <c r="S197" s="285"/>
      <c r="T197" s="219"/>
      <c r="U197" s="285"/>
      <c r="V197" s="407"/>
    </row>
    <row r="198" spans="1:22" s="1" customFormat="1" ht="16.5" x14ac:dyDescent="0.25">
      <c r="A198" s="454" t="s">
        <v>229</v>
      </c>
      <c r="B198" s="251" t="s">
        <v>17</v>
      </c>
      <c r="C198" s="166">
        <f>'RETRIBUCIONES 2025'!$F$4</f>
        <v>716.98</v>
      </c>
      <c r="D198" s="166">
        <f t="shared" si="55"/>
        <v>8603.76</v>
      </c>
      <c r="E198" s="166">
        <f>'RETRIBUCIONES 2025'!$F$5*8</f>
        <v>171.68</v>
      </c>
      <c r="F198" s="177">
        <f t="shared" si="56"/>
        <v>2060.16</v>
      </c>
      <c r="G198" s="165">
        <v>18</v>
      </c>
      <c r="H198" s="166">
        <f>'RETRIBUCIONES 2025'!$K$14</f>
        <v>472.37</v>
      </c>
      <c r="I198" s="166">
        <f t="shared" si="57"/>
        <v>5668.4400000000005</v>
      </c>
      <c r="J198" s="166">
        <v>610.34</v>
      </c>
      <c r="K198" s="285">
        <f t="shared" si="58"/>
        <v>7324.08</v>
      </c>
      <c r="L198" s="201">
        <f t="shared" si="59"/>
        <v>1971.3700000000003</v>
      </c>
      <c r="M198" s="408">
        <f t="shared" si="60"/>
        <v>23656.440000000002</v>
      </c>
      <c r="N198" s="285">
        <f>'RETRIBUCIONES 2025'!$F$9</f>
        <v>710.44</v>
      </c>
      <c r="O198" s="166">
        <f>'RETRIBUCIONES 2025'!$F$10*8</f>
        <v>169.92</v>
      </c>
      <c r="P198" s="285">
        <f>SUM(N198:O198)</f>
        <v>880.36</v>
      </c>
      <c r="Q198" s="285">
        <f t="shared" si="61"/>
        <v>472.37</v>
      </c>
      <c r="R198" s="285">
        <f t="shared" si="62"/>
        <v>610.34</v>
      </c>
      <c r="S198" s="285">
        <f t="shared" si="63"/>
        <v>1963.0700000000002</v>
      </c>
      <c r="T198" s="219">
        <f t="shared" si="64"/>
        <v>27582.58</v>
      </c>
      <c r="U198" s="285">
        <f t="shared" si="65"/>
        <v>9102.251400000001</v>
      </c>
      <c r="V198" s="407">
        <f t="shared" si="66"/>
        <v>36684.831400000003</v>
      </c>
    </row>
    <row r="199" spans="1:22" s="1" customFormat="1" ht="16.5" x14ac:dyDescent="0.25">
      <c r="A199" s="454"/>
      <c r="B199" s="251"/>
      <c r="C199" s="166"/>
      <c r="D199" s="166"/>
      <c r="E199" s="166"/>
      <c r="F199" s="177"/>
      <c r="G199" s="165"/>
      <c r="H199" s="166"/>
      <c r="I199" s="166"/>
      <c r="J199" s="166"/>
      <c r="K199" s="285"/>
      <c r="L199" s="201"/>
      <c r="M199" s="408"/>
      <c r="N199" s="285"/>
      <c r="O199" s="285"/>
      <c r="P199" s="285"/>
      <c r="Q199" s="285"/>
      <c r="R199" s="285"/>
      <c r="S199" s="285"/>
      <c r="T199" s="219"/>
      <c r="U199" s="285"/>
      <c r="V199" s="407"/>
    </row>
    <row r="200" spans="1:22" s="1" customFormat="1" ht="16.5" x14ac:dyDescent="0.25">
      <c r="A200" s="454" t="s">
        <v>229</v>
      </c>
      <c r="B200" s="251" t="s">
        <v>17</v>
      </c>
      <c r="C200" s="166">
        <f>'RETRIBUCIONES 2025'!$F$4</f>
        <v>716.98</v>
      </c>
      <c r="D200" s="166">
        <f t="shared" si="55"/>
        <v>8603.76</v>
      </c>
      <c r="E200" s="166">
        <f>'RETRIBUCIONES 2025'!$F$5*3</f>
        <v>64.38</v>
      </c>
      <c r="F200" s="177">
        <f t="shared" si="56"/>
        <v>772.56</v>
      </c>
      <c r="G200" s="165">
        <v>18</v>
      </c>
      <c r="H200" s="166">
        <f>'RETRIBUCIONES 2025'!$K$14</f>
        <v>472.37</v>
      </c>
      <c r="I200" s="166">
        <f t="shared" si="57"/>
        <v>5668.4400000000005</v>
      </c>
      <c r="J200" s="166">
        <v>610.34</v>
      </c>
      <c r="K200" s="285">
        <f t="shared" si="58"/>
        <v>7324.08</v>
      </c>
      <c r="L200" s="201">
        <f t="shared" si="59"/>
        <v>1864.0700000000002</v>
      </c>
      <c r="M200" s="408">
        <f t="shared" si="60"/>
        <v>22368.84</v>
      </c>
      <c r="N200" s="285">
        <f>'RETRIBUCIONES 2025'!$F$9</f>
        <v>710.44</v>
      </c>
      <c r="O200" s="166">
        <f>'RETRIBUCIONES 2025'!$F$10*3</f>
        <v>63.72</v>
      </c>
      <c r="P200" s="285">
        <f>SUM(N200:O200)</f>
        <v>774.16000000000008</v>
      </c>
      <c r="Q200" s="285">
        <f t="shared" si="61"/>
        <v>472.37</v>
      </c>
      <c r="R200" s="285">
        <f t="shared" si="62"/>
        <v>610.34</v>
      </c>
      <c r="S200" s="285">
        <f t="shared" si="63"/>
        <v>1856.8700000000003</v>
      </c>
      <c r="T200" s="219">
        <f t="shared" si="64"/>
        <v>26082.58</v>
      </c>
      <c r="U200" s="285">
        <f t="shared" si="65"/>
        <v>8607.251400000001</v>
      </c>
      <c r="V200" s="407">
        <f t="shared" si="66"/>
        <v>34689.831400000003</v>
      </c>
    </row>
    <row r="201" spans="1:22" s="1" customFormat="1" ht="16.5" x14ac:dyDescent="0.25">
      <c r="A201" s="454"/>
      <c r="B201" s="251"/>
      <c r="C201" s="166"/>
      <c r="D201" s="166"/>
      <c r="E201" s="166"/>
      <c r="F201" s="177"/>
      <c r="G201" s="165"/>
      <c r="H201" s="166"/>
      <c r="I201" s="166"/>
      <c r="J201" s="166"/>
      <c r="K201" s="285"/>
      <c r="L201" s="201"/>
      <c r="M201" s="408"/>
      <c r="N201" s="285"/>
      <c r="O201" s="285"/>
      <c r="P201" s="285"/>
      <c r="Q201" s="285"/>
      <c r="R201" s="285"/>
      <c r="S201" s="285"/>
      <c r="T201" s="219"/>
      <c r="U201" s="285"/>
      <c r="V201" s="407"/>
    </row>
    <row r="202" spans="1:22" s="4" customFormat="1" ht="16.5" x14ac:dyDescent="0.25">
      <c r="A202" s="455" t="s">
        <v>21</v>
      </c>
      <c r="B202" s="255"/>
      <c r="C202" s="183">
        <f>SUM(C198:C200)</f>
        <v>1433.96</v>
      </c>
      <c r="D202" s="183">
        <f t="shared" si="55"/>
        <v>17207.52</v>
      </c>
      <c r="E202" s="183">
        <f>SUM(E198:E200)</f>
        <v>236.06</v>
      </c>
      <c r="F202" s="232">
        <f t="shared" si="56"/>
        <v>2832.7200000000003</v>
      </c>
      <c r="G202" s="203"/>
      <c r="H202" s="183">
        <f>SUM(H198:H200)</f>
        <v>944.74</v>
      </c>
      <c r="I202" s="183">
        <f t="shared" si="57"/>
        <v>11336.880000000001</v>
      </c>
      <c r="J202" s="183">
        <f>SUM(J198:J200)</f>
        <v>1220.68</v>
      </c>
      <c r="K202" s="395">
        <f t="shared" si="58"/>
        <v>14648.16</v>
      </c>
      <c r="L202" s="187">
        <f t="shared" si="59"/>
        <v>3835.4400000000005</v>
      </c>
      <c r="M202" s="391">
        <f t="shared" si="60"/>
        <v>46025.279999999999</v>
      </c>
      <c r="N202" s="183">
        <f>SUM(N198:N200)</f>
        <v>1420.88</v>
      </c>
      <c r="O202" s="183">
        <f>SUM(O198:O200)</f>
        <v>233.64</v>
      </c>
      <c r="P202" s="183">
        <f>SUM(N202:O202)</f>
        <v>1654.52</v>
      </c>
      <c r="Q202" s="395">
        <f t="shared" si="61"/>
        <v>944.74</v>
      </c>
      <c r="R202" s="395">
        <f t="shared" si="62"/>
        <v>1220.68</v>
      </c>
      <c r="S202" s="395">
        <f t="shared" si="63"/>
        <v>3819.9400000000005</v>
      </c>
      <c r="T202" s="306">
        <f t="shared" si="64"/>
        <v>53665.16</v>
      </c>
      <c r="U202" s="395">
        <f t="shared" si="65"/>
        <v>17709.502800000002</v>
      </c>
      <c r="V202" s="391">
        <f t="shared" si="66"/>
        <v>71374.662800000006</v>
      </c>
    </row>
    <row r="203" spans="1:22" s="1" customFormat="1" ht="16.5" x14ac:dyDescent="0.25">
      <c r="A203" s="453"/>
      <c r="B203" s="256"/>
      <c r="C203" s="188"/>
      <c r="D203" s="188"/>
      <c r="E203" s="188"/>
      <c r="F203" s="235"/>
      <c r="G203" s="210"/>
      <c r="H203" s="236"/>
      <c r="I203" s="188"/>
      <c r="J203" s="188"/>
      <c r="K203" s="188"/>
      <c r="L203" s="237"/>
      <c r="M203" s="238"/>
      <c r="N203" s="188"/>
      <c r="O203" s="188"/>
      <c r="P203" s="188"/>
      <c r="Q203" s="188"/>
      <c r="R203" s="188"/>
      <c r="S203" s="188"/>
      <c r="T203" s="239"/>
      <c r="U203" s="188"/>
      <c r="V203" s="240"/>
    </row>
    <row r="204" spans="1:22" s="1" customFormat="1" ht="16.5" x14ac:dyDescent="0.25">
      <c r="A204" s="456" t="s">
        <v>31</v>
      </c>
      <c r="B204" s="257"/>
      <c r="C204" s="190">
        <f>C188+C196+C202+C192</f>
        <v>4769.67</v>
      </c>
      <c r="D204" s="190">
        <f t="shared" ref="D204:V204" si="67">D188+D196+D202+D192</f>
        <v>57236.039999999994</v>
      </c>
      <c r="E204" s="190">
        <f t="shared" si="67"/>
        <v>562.15000000000009</v>
      </c>
      <c r="F204" s="221">
        <f t="shared" si="67"/>
        <v>6745.8</v>
      </c>
      <c r="G204" s="190">
        <f t="shared" si="67"/>
        <v>0</v>
      </c>
      <c r="H204" s="190">
        <f t="shared" si="67"/>
        <v>3371.0400000000004</v>
      </c>
      <c r="I204" s="190">
        <f t="shared" si="67"/>
        <v>40452.479999999996</v>
      </c>
      <c r="J204" s="190">
        <f t="shared" si="67"/>
        <v>5947.33</v>
      </c>
      <c r="K204" s="190">
        <f t="shared" si="67"/>
        <v>71367.960000000006</v>
      </c>
      <c r="L204" s="222">
        <f t="shared" si="67"/>
        <v>14650.189999999999</v>
      </c>
      <c r="M204" s="221">
        <f t="shared" si="67"/>
        <v>175802.27999999997</v>
      </c>
      <c r="N204" s="190">
        <f t="shared" si="67"/>
        <v>3821.04</v>
      </c>
      <c r="O204" s="190">
        <f t="shared" si="67"/>
        <v>722.83999999999992</v>
      </c>
      <c r="P204" s="190">
        <f t="shared" si="67"/>
        <v>4543.88</v>
      </c>
      <c r="Q204" s="190">
        <f t="shared" si="67"/>
        <v>3371.0400000000004</v>
      </c>
      <c r="R204" s="190">
        <f t="shared" si="67"/>
        <v>5947.33</v>
      </c>
      <c r="S204" s="190">
        <f t="shared" si="67"/>
        <v>13862.25</v>
      </c>
      <c r="T204" s="222">
        <f t="shared" si="67"/>
        <v>203526.78</v>
      </c>
      <c r="U204" s="190">
        <f t="shared" si="67"/>
        <v>67163.837400000004</v>
      </c>
      <c r="V204" s="221">
        <f t="shared" si="67"/>
        <v>270690.61739999999</v>
      </c>
    </row>
    <row r="205" spans="1:22" s="1" customFormat="1" ht="17.25" thickBot="1" x14ac:dyDescent="0.3">
      <c r="A205" s="457"/>
      <c r="B205" s="299"/>
      <c r="C205" s="194" t="s">
        <v>154</v>
      </c>
      <c r="D205" s="194"/>
      <c r="E205" s="194" t="s">
        <v>155</v>
      </c>
      <c r="F205" s="195"/>
      <c r="G205" s="194"/>
      <c r="H205" s="194"/>
      <c r="I205" s="194" t="s">
        <v>156</v>
      </c>
      <c r="J205" s="194"/>
      <c r="K205" s="194" t="s">
        <v>157</v>
      </c>
      <c r="L205" s="209"/>
      <c r="M205" s="403"/>
      <c r="N205" s="194"/>
      <c r="O205" s="194"/>
      <c r="P205" s="194" t="s">
        <v>154</v>
      </c>
      <c r="Q205" s="194" t="s">
        <v>156</v>
      </c>
      <c r="R205" s="194" t="s">
        <v>157</v>
      </c>
      <c r="S205" s="291"/>
      <c r="T205" s="420"/>
      <c r="U205" s="421"/>
      <c r="V205" s="422"/>
    </row>
    <row r="206" spans="1:22" s="1" customFormat="1" ht="17.25" thickBot="1" x14ac:dyDescent="0.3">
      <c r="A206" s="453"/>
      <c r="B206" s="309"/>
      <c r="C206" s="188"/>
      <c r="D206" s="188"/>
      <c r="E206" s="188"/>
      <c r="F206" s="188"/>
      <c r="G206" s="210"/>
      <c r="H206" s="236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235"/>
    </row>
    <row r="207" spans="1:22" s="1" customFormat="1" ht="16.5" x14ac:dyDescent="0.25">
      <c r="A207" s="543" t="s">
        <v>74</v>
      </c>
      <c r="B207" s="544"/>
      <c r="C207" s="544"/>
      <c r="D207" s="544"/>
      <c r="E207" s="544"/>
      <c r="F207" s="544"/>
      <c r="G207" s="544"/>
      <c r="H207" s="544"/>
      <c r="I207" s="544"/>
      <c r="J207" s="544"/>
      <c r="K207" s="544"/>
      <c r="L207" s="544"/>
      <c r="M207" s="544"/>
      <c r="N207" s="544"/>
      <c r="O207" s="544"/>
      <c r="P207" s="544"/>
      <c r="Q207" s="544"/>
      <c r="R207" s="544"/>
      <c r="S207" s="544"/>
      <c r="T207" s="544"/>
      <c r="U207" s="544"/>
      <c r="V207" s="545"/>
    </row>
    <row r="208" spans="1:22" s="1" customFormat="1" ht="17.25" thickBot="1" x14ac:dyDescent="0.25">
      <c r="A208" s="579">
        <v>934</v>
      </c>
      <c r="B208" s="580"/>
      <c r="C208" s="580"/>
      <c r="D208" s="580"/>
      <c r="E208" s="580"/>
      <c r="F208" s="580"/>
      <c r="G208" s="580"/>
      <c r="H208" s="580"/>
      <c r="I208" s="580"/>
      <c r="J208" s="580"/>
      <c r="K208" s="580"/>
      <c r="L208" s="580"/>
      <c r="M208" s="580"/>
      <c r="N208" s="580"/>
      <c r="O208" s="580"/>
      <c r="P208" s="580"/>
      <c r="Q208" s="580"/>
      <c r="R208" s="580"/>
      <c r="S208" s="580"/>
      <c r="T208" s="580"/>
      <c r="U208" s="580"/>
      <c r="V208" s="581"/>
    </row>
    <row r="209" spans="1:22" s="1" customFormat="1" ht="16.5" x14ac:dyDescent="0.25">
      <c r="A209" s="211"/>
      <c r="B209" s="169"/>
      <c r="C209" s="167"/>
      <c r="D209" s="167" t="s">
        <v>117</v>
      </c>
      <c r="E209" s="167"/>
      <c r="F209" s="167">
        <v>12006</v>
      </c>
      <c r="G209" s="169"/>
      <c r="H209" s="167">
        <v>12100</v>
      </c>
      <c r="I209" s="167">
        <v>12100</v>
      </c>
      <c r="J209" s="167">
        <v>12101</v>
      </c>
      <c r="K209" s="168">
        <v>12101</v>
      </c>
      <c r="L209" s="241"/>
      <c r="M209" s="241"/>
      <c r="N209" s="169"/>
      <c r="O209" s="167"/>
      <c r="P209" s="167">
        <v>120</v>
      </c>
      <c r="Q209" s="167">
        <v>12100</v>
      </c>
      <c r="R209" s="167">
        <v>12101</v>
      </c>
      <c r="S209" s="168"/>
      <c r="T209" s="169"/>
      <c r="U209" s="296"/>
      <c r="V209" s="406"/>
    </row>
    <row r="210" spans="1:22" s="1" customFormat="1" ht="16.5" x14ac:dyDescent="0.25">
      <c r="A210" s="454"/>
      <c r="B210" s="510" t="s">
        <v>123</v>
      </c>
      <c r="C210" s="511"/>
      <c r="D210" s="511"/>
      <c r="E210" s="511"/>
      <c r="F210" s="511"/>
      <c r="G210" s="574" t="s">
        <v>124</v>
      </c>
      <c r="H210" s="513"/>
      <c r="I210" s="513"/>
      <c r="J210" s="513"/>
      <c r="K210" s="575"/>
      <c r="L210" s="576" t="s">
        <v>132</v>
      </c>
      <c r="M210" s="576" t="s">
        <v>133</v>
      </c>
      <c r="N210" s="578" t="s">
        <v>2</v>
      </c>
      <c r="O210" s="566"/>
      <c r="P210" s="566"/>
      <c r="Q210" s="566"/>
      <c r="R210" s="566"/>
      <c r="S210" s="573"/>
      <c r="T210" s="343"/>
      <c r="U210" s="280"/>
      <c r="V210" s="407"/>
    </row>
    <row r="211" spans="1:22" s="1" customFormat="1" ht="33.75" thickBot="1" x14ac:dyDescent="0.25">
      <c r="A211" s="212"/>
      <c r="B211" s="268" t="s">
        <v>6</v>
      </c>
      <c r="C211" s="173" t="s">
        <v>144</v>
      </c>
      <c r="D211" s="173" t="s">
        <v>139</v>
      </c>
      <c r="E211" s="173" t="s">
        <v>145</v>
      </c>
      <c r="F211" s="173" t="s">
        <v>140</v>
      </c>
      <c r="G211" s="175" t="s">
        <v>9</v>
      </c>
      <c r="H211" s="173" t="s">
        <v>136</v>
      </c>
      <c r="I211" s="173" t="s">
        <v>135</v>
      </c>
      <c r="J211" s="173" t="s">
        <v>134</v>
      </c>
      <c r="K211" s="174" t="s">
        <v>137</v>
      </c>
      <c r="L211" s="577"/>
      <c r="M211" s="577"/>
      <c r="N211" s="268" t="s">
        <v>10</v>
      </c>
      <c r="O211" s="173" t="s">
        <v>11</v>
      </c>
      <c r="P211" s="173" t="s">
        <v>120</v>
      </c>
      <c r="Q211" s="173" t="s">
        <v>122</v>
      </c>
      <c r="R211" s="173" t="s">
        <v>121</v>
      </c>
      <c r="S211" s="174" t="s">
        <v>116</v>
      </c>
      <c r="T211" s="303" t="s">
        <v>141</v>
      </c>
      <c r="U211" s="173" t="s">
        <v>143</v>
      </c>
      <c r="V211" s="176" t="s">
        <v>142</v>
      </c>
    </row>
    <row r="212" spans="1:22" s="1" customFormat="1" ht="16.5" x14ac:dyDescent="0.2">
      <c r="A212" s="242"/>
      <c r="B212" s="269"/>
      <c r="C212" s="214"/>
      <c r="D212" s="214"/>
      <c r="E212" s="214"/>
      <c r="F212" s="214"/>
      <c r="G212" s="216"/>
      <c r="H212" s="217"/>
      <c r="I212" s="214"/>
      <c r="J212" s="214"/>
      <c r="K212" s="215"/>
      <c r="L212" s="243"/>
      <c r="M212" s="243"/>
      <c r="N212" s="269"/>
      <c r="O212" s="284"/>
      <c r="P212" s="284"/>
      <c r="Q212" s="214"/>
      <c r="R212" s="214"/>
      <c r="S212" s="215"/>
      <c r="T212" s="269"/>
      <c r="U212" s="214"/>
      <c r="V212" s="424"/>
    </row>
    <row r="213" spans="1:22" s="33" customFormat="1" ht="20.100000000000001" customHeight="1" x14ac:dyDescent="0.25">
      <c r="A213" s="460" t="s">
        <v>242</v>
      </c>
      <c r="B213" s="251" t="s">
        <v>12</v>
      </c>
      <c r="C213" s="166">
        <f>'RETRIBUCIONES 2025'!$B$4</f>
        <v>1326.9</v>
      </c>
      <c r="D213" s="166">
        <f>C213*12</f>
        <v>15922.800000000001</v>
      </c>
      <c r="E213" s="166">
        <v>0</v>
      </c>
      <c r="F213" s="166">
        <f>E213*12</f>
        <v>0</v>
      </c>
      <c r="G213" s="220">
        <v>30</v>
      </c>
      <c r="H213" s="166">
        <f>'RETRIBUCIONES 2025'!W14</f>
        <v>1159.06</v>
      </c>
      <c r="I213" s="166">
        <f>H213*12</f>
        <v>13908.72</v>
      </c>
      <c r="J213" s="166">
        <v>2251.84</v>
      </c>
      <c r="K213" s="281">
        <f>J213*12</f>
        <v>27022.080000000002</v>
      </c>
      <c r="L213" s="244">
        <f>C213+E213+H213+J213</f>
        <v>4737.8</v>
      </c>
      <c r="M213" s="430">
        <f>D213+F213+I213+K213</f>
        <v>56853.600000000006</v>
      </c>
      <c r="N213" s="219">
        <f>'RETRIBUCIONES 2025'!$B$9</f>
        <v>818.82</v>
      </c>
      <c r="O213" s="285">
        <v>0</v>
      </c>
      <c r="P213" s="285">
        <f>SUM(N213:O213)</f>
        <v>818.82</v>
      </c>
      <c r="Q213" s="285">
        <f>H213</f>
        <v>1159.06</v>
      </c>
      <c r="R213" s="285">
        <f>J213</f>
        <v>2251.84</v>
      </c>
      <c r="S213" s="281">
        <f>SUM(Q213:R213)</f>
        <v>3410.9</v>
      </c>
      <c r="T213" s="219">
        <f>M213+P213*2</f>
        <v>58491.240000000005</v>
      </c>
      <c r="U213" s="285">
        <f>T213*0.33</f>
        <v>19302.109200000003</v>
      </c>
      <c r="V213" s="407">
        <f>SUM(T213:U213)</f>
        <v>77793.349200000011</v>
      </c>
    </row>
    <row r="214" spans="1:22" s="1" customFormat="1" ht="16.5" x14ac:dyDescent="0.25">
      <c r="A214" s="461"/>
      <c r="B214" s="251"/>
      <c r="C214" s="166"/>
      <c r="D214" s="166"/>
      <c r="E214" s="166"/>
      <c r="F214" s="166"/>
      <c r="G214" s="220"/>
      <c r="H214" s="166"/>
      <c r="I214" s="166"/>
      <c r="J214" s="166"/>
      <c r="K214" s="281"/>
      <c r="L214" s="244"/>
      <c r="M214" s="430"/>
      <c r="N214" s="219"/>
      <c r="O214" s="285"/>
      <c r="P214" s="285"/>
      <c r="Q214" s="285"/>
      <c r="R214" s="285"/>
      <c r="S214" s="281"/>
      <c r="T214" s="219"/>
      <c r="U214" s="285"/>
      <c r="V214" s="407"/>
    </row>
    <row r="215" spans="1:22" s="1" customFormat="1" ht="16.5" x14ac:dyDescent="0.25">
      <c r="A215" s="460" t="s">
        <v>243</v>
      </c>
      <c r="B215" s="251" t="s">
        <v>15</v>
      </c>
      <c r="C215" s="166">
        <f>'RETRIBUCIONES 2025'!$E$4</f>
        <v>861.46</v>
      </c>
      <c r="D215" s="166">
        <f t="shared" ref="D215:D217" si="68">C215*12</f>
        <v>10337.52</v>
      </c>
      <c r="E215" s="166">
        <f>80.28+('RETRIBUCIONES 2025'!$F$5*4)+'RETRIBUCIONES 2025'!$E$5*2</f>
        <v>229.18</v>
      </c>
      <c r="F215" s="166">
        <f t="shared" ref="F215:F217" si="69">E215*12</f>
        <v>2750.16</v>
      </c>
      <c r="G215" s="220">
        <v>20</v>
      </c>
      <c r="H215" s="166">
        <f>'RETRIBUCIONES 2025'!$M$14</f>
        <v>526.09</v>
      </c>
      <c r="I215" s="166">
        <f t="shared" ref="I215:I217" si="70">H215*12</f>
        <v>6313.08</v>
      </c>
      <c r="J215" s="166">
        <v>1187.17</v>
      </c>
      <c r="K215" s="281">
        <f t="shared" ref="K215:K217" si="71">J215*12</f>
        <v>14246.04</v>
      </c>
      <c r="L215" s="244">
        <f t="shared" ref="L215:L217" si="72">C215+E215+H215+J215</f>
        <v>2803.9</v>
      </c>
      <c r="M215" s="430">
        <f t="shared" ref="M215:M217" si="73">D215+F215+I215+K215</f>
        <v>33646.800000000003</v>
      </c>
      <c r="N215" s="219">
        <f>'RETRIBUCIONES 2025'!$E$9</f>
        <v>744.56</v>
      </c>
      <c r="O215" s="166">
        <f>80.28+('RETRIBUCIONES 2025'!$F$10*4)+'RETRIBUCIONES 2025'!$E$10*2</f>
        <v>219.66000000000003</v>
      </c>
      <c r="P215" s="285">
        <f>SUM(N215:O215)</f>
        <v>964.22</v>
      </c>
      <c r="Q215" s="285">
        <f t="shared" ref="Q215:Q217" si="74">H215</f>
        <v>526.09</v>
      </c>
      <c r="R215" s="285">
        <f t="shared" ref="R215:R217" si="75">J215</f>
        <v>1187.17</v>
      </c>
      <c r="S215" s="281">
        <f t="shared" ref="S215:S217" si="76">SUM(Q215:R215)</f>
        <v>1713.2600000000002</v>
      </c>
      <c r="T215" s="219">
        <f t="shared" ref="T215:T217" si="77">M215+P215*2</f>
        <v>35575.240000000005</v>
      </c>
      <c r="U215" s="285">
        <f t="shared" ref="U215:U217" si="78">T215*0.33</f>
        <v>11739.829200000002</v>
      </c>
      <c r="V215" s="407">
        <f t="shared" ref="V215:V217" si="79">SUM(T215:U215)</f>
        <v>47315.069200000005</v>
      </c>
    </row>
    <row r="216" spans="1:22" s="1" customFormat="1" ht="16.5" x14ac:dyDescent="0.25">
      <c r="A216" s="461"/>
      <c r="B216" s="251"/>
      <c r="C216" s="166"/>
      <c r="D216" s="166"/>
      <c r="E216" s="166"/>
      <c r="F216" s="166"/>
      <c r="G216" s="220"/>
      <c r="H216" s="166"/>
      <c r="I216" s="166"/>
      <c r="J216" s="166"/>
      <c r="K216" s="281"/>
      <c r="L216" s="244"/>
      <c r="M216" s="430"/>
      <c r="N216" s="219"/>
      <c r="O216" s="285"/>
      <c r="P216" s="285"/>
      <c r="Q216" s="285"/>
      <c r="R216" s="285"/>
      <c r="S216" s="281"/>
      <c r="T216" s="219"/>
      <c r="U216" s="285"/>
      <c r="V216" s="407"/>
    </row>
    <row r="217" spans="1:22" s="1" customFormat="1" ht="16.5" x14ac:dyDescent="0.25">
      <c r="A217" s="460" t="s">
        <v>244</v>
      </c>
      <c r="B217" s="251" t="s">
        <v>17</v>
      </c>
      <c r="C217" s="166">
        <f>'RETRIBUCIONES 2025'!$F$4</f>
        <v>716.98</v>
      </c>
      <c r="D217" s="166">
        <f t="shared" si="68"/>
        <v>8603.76</v>
      </c>
      <c r="E217" s="166">
        <f>'RETRIBUCIONES 2025'!$F$5*3</f>
        <v>64.38</v>
      </c>
      <c r="F217" s="166">
        <f t="shared" si="69"/>
        <v>772.56</v>
      </c>
      <c r="G217" s="220">
        <v>18</v>
      </c>
      <c r="H217" s="166">
        <f>'RETRIBUCIONES 2025'!$K$14</f>
        <v>472.37</v>
      </c>
      <c r="I217" s="166">
        <f t="shared" si="70"/>
        <v>5668.4400000000005</v>
      </c>
      <c r="J217" s="166">
        <v>610.34</v>
      </c>
      <c r="K217" s="281">
        <f t="shared" si="71"/>
        <v>7324.08</v>
      </c>
      <c r="L217" s="244">
        <f t="shared" si="72"/>
        <v>1864.0700000000002</v>
      </c>
      <c r="M217" s="430">
        <f t="shared" si="73"/>
        <v>22368.84</v>
      </c>
      <c r="N217" s="219">
        <f>'RETRIBUCIONES 2025'!$F$9</f>
        <v>710.44</v>
      </c>
      <c r="O217" s="166">
        <f>'RETRIBUCIONES 2025'!$F$10*3</f>
        <v>63.72</v>
      </c>
      <c r="P217" s="285">
        <f>SUM(N217:O217)</f>
        <v>774.16000000000008</v>
      </c>
      <c r="Q217" s="285">
        <f t="shared" si="74"/>
        <v>472.37</v>
      </c>
      <c r="R217" s="285">
        <f t="shared" si="75"/>
        <v>610.34</v>
      </c>
      <c r="S217" s="281">
        <f t="shared" si="76"/>
        <v>1082.71</v>
      </c>
      <c r="T217" s="219">
        <f t="shared" si="77"/>
        <v>23917.16</v>
      </c>
      <c r="U217" s="285">
        <f t="shared" si="78"/>
        <v>7892.6628000000001</v>
      </c>
      <c r="V217" s="407">
        <f t="shared" si="79"/>
        <v>31809.822800000002</v>
      </c>
    </row>
    <row r="218" spans="1:22" s="1" customFormat="1" ht="16.5" x14ac:dyDescent="0.25">
      <c r="A218" s="461"/>
      <c r="B218" s="251"/>
      <c r="C218" s="166"/>
      <c r="D218" s="166"/>
      <c r="E218" s="166"/>
      <c r="F218" s="166"/>
      <c r="G218" s="178"/>
      <c r="H218" s="165"/>
      <c r="I218" s="166"/>
      <c r="J218" s="166"/>
      <c r="K218" s="177"/>
      <c r="L218" s="244"/>
      <c r="M218" s="430"/>
      <c r="N218" s="219"/>
      <c r="O218" s="285"/>
      <c r="P218" s="285"/>
      <c r="Q218" s="285"/>
      <c r="R218" s="285"/>
      <c r="S218" s="281"/>
      <c r="T218" s="219"/>
      <c r="U218" s="285"/>
      <c r="V218" s="407"/>
    </row>
    <row r="219" spans="1:22" s="1" customFormat="1" ht="16.5" x14ac:dyDescent="0.25">
      <c r="A219" s="462" t="s">
        <v>32</v>
      </c>
      <c r="B219" s="257"/>
      <c r="C219" s="190">
        <f>SUM(C213:C217)</f>
        <v>2905.34</v>
      </c>
      <c r="D219" s="190">
        <f t="shared" ref="D219:V219" si="80">SUM(D213:D217)</f>
        <v>34864.080000000002</v>
      </c>
      <c r="E219" s="190">
        <f t="shared" si="80"/>
        <v>293.56</v>
      </c>
      <c r="F219" s="190">
        <f t="shared" si="80"/>
        <v>3522.72</v>
      </c>
      <c r="G219" s="222"/>
      <c r="H219" s="190">
        <f t="shared" si="80"/>
        <v>2157.52</v>
      </c>
      <c r="I219" s="190">
        <f t="shared" si="80"/>
        <v>25890.239999999998</v>
      </c>
      <c r="J219" s="190">
        <f t="shared" si="80"/>
        <v>4049.3500000000004</v>
      </c>
      <c r="K219" s="221">
        <f t="shared" si="80"/>
        <v>48592.200000000004</v>
      </c>
      <c r="L219" s="190">
        <f t="shared" si="80"/>
        <v>9405.77</v>
      </c>
      <c r="M219" s="190">
        <f t="shared" si="80"/>
        <v>112869.24</v>
      </c>
      <c r="N219" s="222">
        <f t="shared" si="80"/>
        <v>2273.8200000000002</v>
      </c>
      <c r="O219" s="190">
        <f t="shared" si="80"/>
        <v>283.38</v>
      </c>
      <c r="P219" s="190">
        <f t="shared" si="80"/>
        <v>2557.1999999999998</v>
      </c>
      <c r="Q219" s="190">
        <f t="shared" si="80"/>
        <v>2157.52</v>
      </c>
      <c r="R219" s="190">
        <f t="shared" si="80"/>
        <v>4049.3500000000004</v>
      </c>
      <c r="S219" s="221">
        <f t="shared" si="80"/>
        <v>6206.87</v>
      </c>
      <c r="T219" s="222">
        <f t="shared" si="80"/>
        <v>117983.64000000001</v>
      </c>
      <c r="U219" s="190">
        <f t="shared" si="80"/>
        <v>38934.601200000005</v>
      </c>
      <c r="V219" s="221">
        <f t="shared" si="80"/>
        <v>156918.24120000002</v>
      </c>
    </row>
    <row r="220" spans="1:22" s="1" customFormat="1" ht="17.25" thickBot="1" x14ac:dyDescent="0.3">
      <c r="A220" s="463"/>
      <c r="B220" s="299"/>
      <c r="C220" s="194" t="s">
        <v>158</v>
      </c>
      <c r="D220" s="194"/>
      <c r="E220" s="194" t="s">
        <v>159</v>
      </c>
      <c r="F220" s="195"/>
      <c r="G220" s="194"/>
      <c r="H220" s="194"/>
      <c r="I220" s="194" t="s">
        <v>160</v>
      </c>
      <c r="J220" s="194"/>
      <c r="K220" s="194" t="s">
        <v>161</v>
      </c>
      <c r="L220" s="209"/>
      <c r="M220" s="403"/>
      <c r="N220" s="194"/>
      <c r="O220" s="194"/>
      <c r="P220" s="194" t="s">
        <v>158</v>
      </c>
      <c r="Q220" s="194" t="s">
        <v>160</v>
      </c>
      <c r="R220" s="194" t="s">
        <v>161</v>
      </c>
      <c r="S220" s="291"/>
      <c r="T220" s="420"/>
      <c r="U220" s="421"/>
      <c r="V220" s="422"/>
    </row>
    <row r="221" spans="1:22" s="1" customFormat="1" ht="17.25" thickBot="1" x14ac:dyDescent="0.3">
      <c r="A221" s="454"/>
      <c r="B221" s="293"/>
      <c r="C221" s="166"/>
      <c r="D221" s="166"/>
      <c r="E221" s="166"/>
      <c r="F221" s="166"/>
      <c r="G221" s="164"/>
      <c r="H221" s="165"/>
      <c r="I221" s="166"/>
      <c r="J221" s="166"/>
      <c r="K221" s="166"/>
      <c r="L221" s="166"/>
      <c r="M221" s="285"/>
      <c r="N221" s="285"/>
      <c r="O221" s="294"/>
      <c r="P221" s="294"/>
      <c r="Q221" s="285"/>
      <c r="R221" s="285"/>
      <c r="S221" s="285"/>
      <c r="T221" s="285"/>
      <c r="U221" s="285"/>
      <c r="V221" s="281"/>
    </row>
    <row r="222" spans="1:22" s="1" customFormat="1" ht="16.5" x14ac:dyDescent="0.25">
      <c r="A222" s="543" t="s">
        <v>75</v>
      </c>
      <c r="B222" s="544"/>
      <c r="C222" s="544"/>
      <c r="D222" s="544"/>
      <c r="E222" s="544"/>
      <c r="F222" s="544"/>
      <c r="G222" s="544"/>
      <c r="H222" s="544"/>
      <c r="I222" s="544"/>
      <c r="J222" s="544"/>
      <c r="K222" s="544"/>
      <c r="L222" s="544"/>
      <c r="M222" s="544"/>
      <c r="N222" s="544"/>
      <c r="O222" s="544"/>
      <c r="P222" s="544"/>
      <c r="Q222" s="544"/>
      <c r="R222" s="544"/>
      <c r="S222" s="544"/>
      <c r="T222" s="544"/>
      <c r="U222" s="544"/>
      <c r="V222" s="545"/>
    </row>
    <row r="223" spans="1:22" s="1" customFormat="1" ht="17.25" thickBot="1" x14ac:dyDescent="0.25">
      <c r="A223" s="540">
        <v>932</v>
      </c>
      <c r="B223" s="541"/>
      <c r="C223" s="541"/>
      <c r="D223" s="541"/>
      <c r="E223" s="541"/>
      <c r="F223" s="541"/>
      <c r="G223" s="541"/>
      <c r="H223" s="541"/>
      <c r="I223" s="541"/>
      <c r="J223" s="541"/>
      <c r="K223" s="541"/>
      <c r="L223" s="541"/>
      <c r="M223" s="541"/>
      <c r="N223" s="541"/>
      <c r="O223" s="541"/>
      <c r="P223" s="541"/>
      <c r="Q223" s="541"/>
      <c r="R223" s="541"/>
      <c r="S223" s="541"/>
      <c r="T223" s="541"/>
      <c r="U223" s="541"/>
      <c r="V223" s="542"/>
    </row>
    <row r="224" spans="1:22" s="1" customFormat="1" ht="16.5" x14ac:dyDescent="0.25">
      <c r="A224" s="211"/>
      <c r="B224" s="169"/>
      <c r="C224" s="167"/>
      <c r="D224" s="167" t="s">
        <v>117</v>
      </c>
      <c r="E224" s="167"/>
      <c r="F224" s="168">
        <v>12006</v>
      </c>
      <c r="G224" s="167"/>
      <c r="H224" s="167">
        <v>12100</v>
      </c>
      <c r="I224" s="167">
        <v>12100</v>
      </c>
      <c r="J224" s="167">
        <v>12101</v>
      </c>
      <c r="K224" s="167">
        <v>12101</v>
      </c>
      <c r="L224" s="199"/>
      <c r="M224" s="385"/>
      <c r="N224" s="167"/>
      <c r="O224" s="167"/>
      <c r="P224" s="167">
        <v>120</v>
      </c>
      <c r="Q224" s="167">
        <v>12100</v>
      </c>
      <c r="R224" s="167">
        <v>12101</v>
      </c>
      <c r="S224" s="167"/>
      <c r="T224" s="169"/>
      <c r="U224" s="296"/>
      <c r="V224" s="406"/>
    </row>
    <row r="225" spans="1:22" s="1" customFormat="1" ht="15" customHeight="1" x14ac:dyDescent="0.25">
      <c r="A225" s="454"/>
      <c r="B225" s="510" t="s">
        <v>123</v>
      </c>
      <c r="C225" s="511"/>
      <c r="D225" s="511"/>
      <c r="E225" s="511"/>
      <c r="F225" s="512"/>
      <c r="G225" s="513" t="s">
        <v>124</v>
      </c>
      <c r="H225" s="513"/>
      <c r="I225" s="513"/>
      <c r="J225" s="513"/>
      <c r="K225" s="513"/>
      <c r="L225" s="564" t="s">
        <v>132</v>
      </c>
      <c r="M225" s="565" t="s">
        <v>133</v>
      </c>
      <c r="N225" s="566" t="s">
        <v>2</v>
      </c>
      <c r="O225" s="566"/>
      <c r="P225" s="566"/>
      <c r="Q225" s="566"/>
      <c r="R225" s="566"/>
      <c r="S225" s="566"/>
      <c r="T225" s="343"/>
      <c r="U225" s="280"/>
      <c r="V225" s="407"/>
    </row>
    <row r="226" spans="1:22" s="1" customFormat="1" ht="33.75" thickBot="1" x14ac:dyDescent="0.25">
      <c r="A226" s="212"/>
      <c r="B226" s="268" t="s">
        <v>6</v>
      </c>
      <c r="C226" s="173" t="s">
        <v>144</v>
      </c>
      <c r="D226" s="173" t="s">
        <v>139</v>
      </c>
      <c r="E226" s="173" t="s">
        <v>145</v>
      </c>
      <c r="F226" s="174" t="s">
        <v>140</v>
      </c>
      <c r="G226" s="200" t="s">
        <v>9</v>
      </c>
      <c r="H226" s="173" t="s">
        <v>136</v>
      </c>
      <c r="I226" s="173" t="s">
        <v>135</v>
      </c>
      <c r="J226" s="173" t="s">
        <v>134</v>
      </c>
      <c r="K226" s="173" t="s">
        <v>137</v>
      </c>
      <c r="L226" s="552"/>
      <c r="M226" s="554"/>
      <c r="N226" s="173" t="s">
        <v>10</v>
      </c>
      <c r="O226" s="173" t="s">
        <v>11</v>
      </c>
      <c r="P226" s="173" t="s">
        <v>120</v>
      </c>
      <c r="Q226" s="173" t="s">
        <v>122</v>
      </c>
      <c r="R226" s="173" t="s">
        <v>121</v>
      </c>
      <c r="S226" s="173" t="s">
        <v>116</v>
      </c>
      <c r="T226" s="303" t="s">
        <v>141</v>
      </c>
      <c r="U226" s="173" t="s">
        <v>143</v>
      </c>
      <c r="V226" s="176" t="s">
        <v>142</v>
      </c>
    </row>
    <row r="227" spans="1:22" s="1" customFormat="1" ht="16.5" x14ac:dyDescent="0.2">
      <c r="A227" s="213"/>
      <c r="B227" s="269"/>
      <c r="C227" s="214"/>
      <c r="D227" s="214"/>
      <c r="E227" s="214"/>
      <c r="F227" s="215"/>
      <c r="G227" s="231"/>
      <c r="H227" s="217"/>
      <c r="I227" s="214"/>
      <c r="J227" s="214"/>
      <c r="K227" s="214"/>
      <c r="L227" s="218"/>
      <c r="M227" s="423"/>
      <c r="N227" s="214"/>
      <c r="O227" s="284"/>
      <c r="P227" s="284"/>
      <c r="Q227" s="214"/>
      <c r="R227" s="214"/>
      <c r="S227" s="214"/>
      <c r="T227" s="269"/>
      <c r="U227" s="214"/>
      <c r="V227" s="424"/>
    </row>
    <row r="228" spans="1:22" s="33" customFormat="1" ht="20.100000000000001" customHeight="1" x14ac:dyDescent="0.25">
      <c r="A228" s="450" t="s">
        <v>245</v>
      </c>
      <c r="B228" s="251" t="s">
        <v>12</v>
      </c>
      <c r="C228" s="166">
        <f>'RETRIBUCIONES 2025'!$B$4</f>
        <v>1326.9</v>
      </c>
      <c r="D228" s="166">
        <f>C228*12</f>
        <v>15922.800000000001</v>
      </c>
      <c r="E228" s="166">
        <f>'RETRIBUCIONES 2025'!$C$5*4+'RETRIBUCIONES 2025'!$F$5+'RETRIBUCIONES 2025'!$B$5</f>
        <v>239.13</v>
      </c>
      <c r="F228" s="177">
        <f>E228*12</f>
        <v>2869.56</v>
      </c>
      <c r="G228" s="165" t="s">
        <v>59</v>
      </c>
      <c r="H228" s="166">
        <f>'RETRIBUCIONES 2025'!$U$14</f>
        <v>995.93</v>
      </c>
      <c r="I228" s="166">
        <f>H228*12</f>
        <v>11951.16</v>
      </c>
      <c r="J228" s="166">
        <v>1624.82</v>
      </c>
      <c r="K228" s="285">
        <f>J228*12</f>
        <v>19497.84</v>
      </c>
      <c r="L228" s="201">
        <f>C228+E228+H228+J228</f>
        <v>4186.78</v>
      </c>
      <c r="M228" s="408">
        <f>D228+F228+I228+K228</f>
        <v>50241.36</v>
      </c>
      <c r="N228" s="285">
        <f>'RETRIBUCIONES 2025'!$B$9</f>
        <v>818.82</v>
      </c>
      <c r="O228" s="166">
        <f>'RETRIBUCIONES 2025'!$C$10*4+'RETRIBUCIONES 2025'!$F$10+'RETRIBUCIONES 2025'!$B$10</f>
        <v>174.25</v>
      </c>
      <c r="P228" s="285">
        <f>SUM(N228:O228)</f>
        <v>993.07</v>
      </c>
      <c r="Q228" s="285">
        <f>H228</f>
        <v>995.93</v>
      </c>
      <c r="R228" s="285">
        <f>J228</f>
        <v>1624.82</v>
      </c>
      <c r="S228" s="285">
        <f>SUM(P228:R228)</f>
        <v>3613.8199999999997</v>
      </c>
      <c r="T228" s="219">
        <f>M228+S228*2</f>
        <v>57469</v>
      </c>
      <c r="U228" s="285">
        <f>T228*0.33</f>
        <v>18964.77</v>
      </c>
      <c r="V228" s="407">
        <f>SUM(T228:U228)</f>
        <v>76433.77</v>
      </c>
    </row>
    <row r="229" spans="1:22" s="1" customFormat="1" ht="16.5" x14ac:dyDescent="0.25">
      <c r="A229" s="454"/>
      <c r="B229" s="251"/>
      <c r="C229" s="166"/>
      <c r="D229" s="166"/>
      <c r="E229" s="166"/>
      <c r="F229" s="177"/>
      <c r="G229" s="165"/>
      <c r="H229" s="166"/>
      <c r="I229" s="166"/>
      <c r="J229" s="166"/>
      <c r="K229" s="285"/>
      <c r="L229" s="201"/>
      <c r="M229" s="408"/>
      <c r="N229" s="285"/>
      <c r="O229" s="285"/>
      <c r="P229" s="285"/>
      <c r="Q229" s="285"/>
      <c r="R229" s="285"/>
      <c r="S229" s="285"/>
      <c r="T229" s="219"/>
      <c r="U229" s="285"/>
      <c r="V229" s="407"/>
    </row>
    <row r="230" spans="1:22" s="1" customFormat="1" ht="16.5" x14ac:dyDescent="0.25">
      <c r="A230" s="450" t="s">
        <v>237</v>
      </c>
      <c r="B230" s="251" t="s">
        <v>15</v>
      </c>
      <c r="C230" s="166">
        <f>'RETRIBUCIONES 2025'!$E$4</f>
        <v>861.46</v>
      </c>
      <c r="D230" s="166">
        <f t="shared" ref="D230" si="81">C230*12</f>
        <v>10337.52</v>
      </c>
      <c r="E230" s="166">
        <f>(7*'RETRIBUCIONES 2025'!$F$5)+(7*'RETRIBUCIONES 2025'!$E$5)</f>
        <v>370.93</v>
      </c>
      <c r="F230" s="177">
        <f t="shared" ref="F230" si="82">E230*12</f>
        <v>4451.16</v>
      </c>
      <c r="G230" s="165">
        <v>20</v>
      </c>
      <c r="H230" s="166">
        <f>'RETRIBUCIONES 2025'!$M$14</f>
        <v>526.09</v>
      </c>
      <c r="I230" s="166">
        <f t="shared" ref="I230" si="83">H230*12</f>
        <v>6313.08</v>
      </c>
      <c r="J230" s="166">
        <v>817.02</v>
      </c>
      <c r="K230" s="285">
        <f t="shared" ref="K230" si="84">J230*12</f>
        <v>9804.24</v>
      </c>
      <c r="L230" s="201">
        <f>C230+E230+H230+J230</f>
        <v>2575.5</v>
      </c>
      <c r="M230" s="408">
        <f>D230+F230+I230+K230</f>
        <v>30906</v>
      </c>
      <c r="N230" s="285">
        <f>'RETRIBUCIONES 2025'!$E$9</f>
        <v>744.56</v>
      </c>
      <c r="O230" s="166">
        <f>(7*'RETRIBUCIONES 2025'!$F$10)+(7*'RETRIBUCIONES 2025'!$E$10)</f>
        <v>339.15</v>
      </c>
      <c r="P230" s="285">
        <f>SUM(N230:O230)</f>
        <v>1083.71</v>
      </c>
      <c r="Q230" s="285">
        <f t="shared" ref="Q230" si="85">H230</f>
        <v>526.09</v>
      </c>
      <c r="R230" s="285">
        <f t="shared" ref="R230" si="86">J230</f>
        <v>817.02</v>
      </c>
      <c r="S230" s="285">
        <f t="shared" ref="S230" si="87">SUM(P230:R230)</f>
        <v>2426.8200000000002</v>
      </c>
      <c r="T230" s="219">
        <f t="shared" ref="T230" si="88">M230+S230*2</f>
        <v>35759.64</v>
      </c>
      <c r="U230" s="285">
        <f t="shared" ref="U230" si="89">T230*0.33</f>
        <v>11800.681200000001</v>
      </c>
      <c r="V230" s="407">
        <f t="shared" ref="V230" si="90">SUM(T230:U230)</f>
        <v>47560.321199999998</v>
      </c>
    </row>
    <row r="231" spans="1:22" s="1" customFormat="1" ht="16.5" x14ac:dyDescent="0.25">
      <c r="A231" s="464"/>
      <c r="B231" s="251"/>
      <c r="C231" s="166"/>
      <c r="D231" s="166"/>
      <c r="E231" s="166"/>
      <c r="F231" s="177"/>
      <c r="G231" s="165"/>
      <c r="H231" s="166"/>
      <c r="I231" s="166"/>
      <c r="J231" s="166"/>
      <c r="K231" s="285"/>
      <c r="L231" s="201"/>
      <c r="M231" s="408"/>
      <c r="N231" s="285"/>
      <c r="O231" s="285"/>
      <c r="P231" s="285"/>
      <c r="Q231" s="285"/>
      <c r="R231" s="285"/>
      <c r="S231" s="285"/>
      <c r="T231" s="219"/>
      <c r="U231" s="285"/>
      <c r="V231" s="407"/>
    </row>
    <row r="232" spans="1:22" s="1" customFormat="1" ht="16.5" x14ac:dyDescent="0.25">
      <c r="A232" s="456" t="s">
        <v>33</v>
      </c>
      <c r="B232" s="257"/>
      <c r="C232" s="190">
        <f>SUM(C228:C231)</f>
        <v>2188.36</v>
      </c>
      <c r="D232" s="190">
        <f t="shared" ref="D232:V232" si="91">SUM(D228:D231)</f>
        <v>26260.32</v>
      </c>
      <c r="E232" s="190">
        <f t="shared" si="91"/>
        <v>610.05999999999995</v>
      </c>
      <c r="F232" s="221">
        <f t="shared" si="91"/>
        <v>7320.7199999999993</v>
      </c>
      <c r="G232" s="190"/>
      <c r="H232" s="190">
        <f t="shared" si="91"/>
        <v>1522.02</v>
      </c>
      <c r="I232" s="190">
        <f t="shared" si="91"/>
        <v>18264.239999999998</v>
      </c>
      <c r="J232" s="190">
        <f t="shared" si="91"/>
        <v>2441.84</v>
      </c>
      <c r="K232" s="190">
        <f t="shared" si="91"/>
        <v>29302.080000000002</v>
      </c>
      <c r="L232" s="222">
        <f t="shared" si="91"/>
        <v>6762.28</v>
      </c>
      <c r="M232" s="221">
        <f t="shared" si="91"/>
        <v>81147.360000000001</v>
      </c>
      <c r="N232" s="190">
        <f t="shared" si="91"/>
        <v>1563.38</v>
      </c>
      <c r="O232" s="190">
        <f t="shared" si="91"/>
        <v>513.4</v>
      </c>
      <c r="P232" s="190">
        <f t="shared" si="91"/>
        <v>2076.7800000000002</v>
      </c>
      <c r="Q232" s="190">
        <f t="shared" si="91"/>
        <v>1522.02</v>
      </c>
      <c r="R232" s="190">
        <f t="shared" si="91"/>
        <v>2441.84</v>
      </c>
      <c r="S232" s="190">
        <f t="shared" si="91"/>
        <v>6040.6399999999994</v>
      </c>
      <c r="T232" s="222">
        <f t="shared" si="91"/>
        <v>93228.64</v>
      </c>
      <c r="U232" s="190">
        <f t="shared" si="91"/>
        <v>30765.451200000003</v>
      </c>
      <c r="V232" s="221">
        <f t="shared" si="91"/>
        <v>123994.0912</v>
      </c>
    </row>
    <row r="233" spans="1:22" s="1" customFormat="1" ht="17.25" thickBot="1" x14ac:dyDescent="0.3">
      <c r="A233" s="459"/>
      <c r="B233" s="299"/>
      <c r="C233" s="194" t="s">
        <v>162</v>
      </c>
      <c r="D233" s="194"/>
      <c r="E233" s="194" t="s">
        <v>163</v>
      </c>
      <c r="F233" s="195"/>
      <c r="G233" s="194"/>
      <c r="H233" s="194"/>
      <c r="I233" s="194" t="s">
        <v>164</v>
      </c>
      <c r="J233" s="194"/>
      <c r="K233" s="194" t="s">
        <v>165</v>
      </c>
      <c r="L233" s="209"/>
      <c r="M233" s="403"/>
      <c r="N233" s="194"/>
      <c r="O233" s="194"/>
      <c r="P233" s="194" t="s">
        <v>162</v>
      </c>
      <c r="Q233" s="194" t="s">
        <v>164</v>
      </c>
      <c r="R233" s="194" t="s">
        <v>165</v>
      </c>
      <c r="S233" s="291"/>
      <c r="T233" s="420"/>
      <c r="U233" s="421"/>
      <c r="V233" s="422"/>
    </row>
    <row r="234" spans="1:22" s="1" customFormat="1" ht="17.25" thickBot="1" x14ac:dyDescent="0.3">
      <c r="A234" s="453"/>
      <c r="B234" s="293"/>
      <c r="C234" s="166"/>
      <c r="D234" s="166"/>
      <c r="E234" s="166"/>
      <c r="F234" s="188"/>
      <c r="G234" s="210"/>
      <c r="H234" s="165"/>
      <c r="I234" s="166"/>
      <c r="J234" s="166"/>
      <c r="K234" s="166"/>
      <c r="L234" s="166"/>
      <c r="M234" s="294"/>
      <c r="N234" s="294"/>
      <c r="O234" s="294"/>
      <c r="P234" s="294"/>
      <c r="Q234" s="285"/>
      <c r="R234" s="285"/>
      <c r="S234" s="285"/>
      <c r="T234" s="285"/>
      <c r="U234" s="285"/>
      <c r="V234" s="281"/>
    </row>
    <row r="235" spans="1:22" s="1" customFormat="1" ht="16.5" x14ac:dyDescent="0.25">
      <c r="A235" s="543" t="s">
        <v>55</v>
      </c>
      <c r="B235" s="544"/>
      <c r="C235" s="544"/>
      <c r="D235" s="544"/>
      <c r="E235" s="544"/>
      <c r="F235" s="544"/>
      <c r="G235" s="544"/>
      <c r="H235" s="544"/>
      <c r="I235" s="544"/>
      <c r="J235" s="544"/>
      <c r="K235" s="544"/>
      <c r="L235" s="544"/>
      <c r="M235" s="544"/>
      <c r="N235" s="544"/>
      <c r="O235" s="544"/>
      <c r="P235" s="544"/>
      <c r="Q235" s="544"/>
      <c r="R235" s="544"/>
      <c r="S235" s="544"/>
      <c r="T235" s="544"/>
      <c r="U235" s="544"/>
      <c r="V235" s="545"/>
    </row>
    <row r="236" spans="1:22" s="1" customFormat="1" ht="17.25" thickBot="1" x14ac:dyDescent="0.25">
      <c r="A236" s="540">
        <v>3321</v>
      </c>
      <c r="B236" s="541"/>
      <c r="C236" s="541"/>
      <c r="D236" s="541"/>
      <c r="E236" s="541"/>
      <c r="F236" s="541"/>
      <c r="G236" s="541"/>
      <c r="H236" s="541"/>
      <c r="I236" s="541"/>
      <c r="J236" s="541"/>
      <c r="K236" s="541"/>
      <c r="L236" s="541"/>
      <c r="M236" s="541"/>
      <c r="N236" s="541"/>
      <c r="O236" s="541"/>
      <c r="P236" s="541"/>
      <c r="Q236" s="541"/>
      <c r="R236" s="541"/>
      <c r="S236" s="541"/>
      <c r="T236" s="541"/>
      <c r="U236" s="541"/>
      <c r="V236" s="542"/>
    </row>
    <row r="237" spans="1:22" s="1" customFormat="1" ht="16.5" x14ac:dyDescent="0.25">
      <c r="A237" s="211"/>
      <c r="B237" s="169"/>
      <c r="C237" s="167"/>
      <c r="D237" s="167" t="s">
        <v>117</v>
      </c>
      <c r="E237" s="167"/>
      <c r="F237" s="168">
        <v>12006</v>
      </c>
      <c r="G237" s="169"/>
      <c r="H237" s="167">
        <v>12100</v>
      </c>
      <c r="I237" s="167">
        <v>12100</v>
      </c>
      <c r="J237" s="167">
        <v>12101</v>
      </c>
      <c r="K237" s="168">
        <v>12101</v>
      </c>
      <c r="L237" s="241"/>
      <c r="M237" s="241"/>
      <c r="N237" s="169"/>
      <c r="O237" s="167"/>
      <c r="P237" s="167">
        <v>120</v>
      </c>
      <c r="Q237" s="167">
        <v>12100</v>
      </c>
      <c r="R237" s="167">
        <v>12101</v>
      </c>
      <c r="S237" s="168"/>
      <c r="T237" s="169"/>
      <c r="U237" s="296"/>
      <c r="V237" s="406"/>
    </row>
    <row r="238" spans="1:22" s="1" customFormat="1" ht="16.5" x14ac:dyDescent="0.25">
      <c r="A238" s="454"/>
      <c r="B238" s="510" t="s">
        <v>123</v>
      </c>
      <c r="C238" s="511"/>
      <c r="D238" s="511"/>
      <c r="E238" s="511"/>
      <c r="F238" s="512"/>
      <c r="G238" s="574" t="s">
        <v>124</v>
      </c>
      <c r="H238" s="513"/>
      <c r="I238" s="513"/>
      <c r="J238" s="513"/>
      <c r="K238" s="575"/>
      <c r="L238" s="576" t="s">
        <v>132</v>
      </c>
      <c r="M238" s="576" t="s">
        <v>133</v>
      </c>
      <c r="N238" s="578" t="s">
        <v>2</v>
      </c>
      <c r="O238" s="566"/>
      <c r="P238" s="566"/>
      <c r="Q238" s="566"/>
      <c r="R238" s="566"/>
      <c r="S238" s="573"/>
      <c r="T238" s="343"/>
      <c r="U238" s="280"/>
      <c r="V238" s="407"/>
    </row>
    <row r="239" spans="1:22" s="1" customFormat="1" ht="33.75" thickBot="1" x14ac:dyDescent="0.25">
      <c r="A239" s="212"/>
      <c r="B239" s="268" t="s">
        <v>6</v>
      </c>
      <c r="C239" s="173" t="s">
        <v>144</v>
      </c>
      <c r="D239" s="173" t="s">
        <v>139</v>
      </c>
      <c r="E239" s="173" t="s">
        <v>145</v>
      </c>
      <c r="F239" s="174" t="s">
        <v>140</v>
      </c>
      <c r="G239" s="175" t="s">
        <v>9</v>
      </c>
      <c r="H239" s="173" t="s">
        <v>136</v>
      </c>
      <c r="I239" s="173" t="s">
        <v>135</v>
      </c>
      <c r="J239" s="173" t="s">
        <v>134</v>
      </c>
      <c r="K239" s="174" t="s">
        <v>137</v>
      </c>
      <c r="L239" s="577"/>
      <c r="M239" s="577"/>
      <c r="N239" s="268" t="s">
        <v>10</v>
      </c>
      <c r="O239" s="173" t="s">
        <v>11</v>
      </c>
      <c r="P239" s="173" t="s">
        <v>120</v>
      </c>
      <c r="Q239" s="173" t="s">
        <v>122</v>
      </c>
      <c r="R239" s="173" t="s">
        <v>121</v>
      </c>
      <c r="S239" s="174" t="s">
        <v>116</v>
      </c>
      <c r="T239" s="303" t="s">
        <v>141</v>
      </c>
      <c r="U239" s="173" t="s">
        <v>143</v>
      </c>
      <c r="V239" s="176" t="s">
        <v>142</v>
      </c>
    </row>
    <row r="240" spans="1:22" s="1" customFormat="1" ht="16.5" x14ac:dyDescent="0.2">
      <c r="A240" s="213"/>
      <c r="B240" s="269"/>
      <c r="C240" s="214"/>
      <c r="D240" s="214"/>
      <c r="E240" s="214"/>
      <c r="F240" s="215"/>
      <c r="G240" s="216"/>
      <c r="H240" s="217"/>
      <c r="I240" s="214"/>
      <c r="J240" s="214"/>
      <c r="K240" s="215"/>
      <c r="L240" s="243"/>
      <c r="M240" s="243"/>
      <c r="N240" s="269"/>
      <c r="O240" s="284"/>
      <c r="P240" s="284"/>
      <c r="Q240" s="214"/>
      <c r="R240" s="214"/>
      <c r="S240" s="215"/>
      <c r="T240" s="269"/>
      <c r="U240" s="214"/>
      <c r="V240" s="424"/>
    </row>
    <row r="241" spans="1:22" s="33" customFormat="1" ht="20.100000000000001" customHeight="1" x14ac:dyDescent="0.25">
      <c r="A241" s="450" t="s">
        <v>246</v>
      </c>
      <c r="B241" s="251" t="s">
        <v>13</v>
      </c>
      <c r="C241" s="166">
        <f>'RETRIBUCIONES 2025'!$C$4</f>
        <v>1147.3499999999999</v>
      </c>
      <c r="D241" s="166">
        <f>C241*12</f>
        <v>13768.199999999999</v>
      </c>
      <c r="E241" s="285">
        <f>'RETRIBUCIONES 2025'!$C$5*2</f>
        <v>83.3</v>
      </c>
      <c r="F241" s="281">
        <f>E241*12</f>
        <v>999.59999999999991</v>
      </c>
      <c r="G241" s="431">
        <v>22</v>
      </c>
      <c r="H241" s="285">
        <f>'RETRIBUCIONES 2025'!O14</f>
        <v>610</v>
      </c>
      <c r="I241" s="285">
        <f>H241*12</f>
        <v>7320</v>
      </c>
      <c r="J241" s="285">
        <v>1181.95</v>
      </c>
      <c r="K241" s="281">
        <f>J241*12</f>
        <v>14183.400000000001</v>
      </c>
      <c r="L241" s="430">
        <f>C241+E241+H241+J241</f>
        <v>3022.6</v>
      </c>
      <c r="M241" s="430">
        <f>D241+F241+I241+K241</f>
        <v>36271.199999999997</v>
      </c>
      <c r="N241" s="219">
        <f>'RETRIBUCIONES 2025'!$C$9</f>
        <v>836.78</v>
      </c>
      <c r="O241" s="285">
        <f>'RETRIBUCIONES 2025'!$C$10*2</f>
        <v>60.74</v>
      </c>
      <c r="P241" s="285">
        <f>SUM(N241:O241)</f>
        <v>897.52</v>
      </c>
      <c r="Q241" s="285">
        <f>H241</f>
        <v>610</v>
      </c>
      <c r="R241" s="285">
        <f>J241</f>
        <v>1181.95</v>
      </c>
      <c r="S241" s="281">
        <f>SUM(P241:R241)</f>
        <v>2689.4700000000003</v>
      </c>
      <c r="T241" s="219">
        <f>M241+S241*2</f>
        <v>41650.14</v>
      </c>
      <c r="U241" s="285">
        <f>T241*0.33</f>
        <v>13744.546200000001</v>
      </c>
      <c r="V241" s="407">
        <f>SUM(T241:U241)</f>
        <v>55394.686199999996</v>
      </c>
    </row>
    <row r="242" spans="1:22" s="1" customFormat="1" ht="16.5" x14ac:dyDescent="0.25">
      <c r="A242" s="454"/>
      <c r="B242" s="251"/>
      <c r="C242" s="285"/>
      <c r="D242" s="285"/>
      <c r="E242" s="285"/>
      <c r="F242" s="304"/>
      <c r="G242" s="431"/>
      <c r="H242" s="285"/>
      <c r="I242" s="285"/>
      <c r="J242" s="285"/>
      <c r="K242" s="281"/>
      <c r="L242" s="430"/>
      <c r="M242" s="432"/>
      <c r="N242" s="219"/>
      <c r="O242" s="285"/>
      <c r="P242" s="285"/>
      <c r="Q242" s="285"/>
      <c r="R242" s="285"/>
      <c r="S242" s="281"/>
      <c r="T242" s="219"/>
      <c r="U242" s="285"/>
      <c r="V242" s="407"/>
    </row>
    <row r="243" spans="1:22" s="1" customFormat="1" ht="16.5" x14ac:dyDescent="0.25">
      <c r="A243" s="456" t="s">
        <v>76</v>
      </c>
      <c r="B243" s="257"/>
      <c r="C243" s="399">
        <f>SUM(C241:C242)</f>
        <v>1147.3499999999999</v>
      </c>
      <c r="D243" s="399">
        <f t="shared" ref="D243:V243" si="92">SUM(D241:D242)</f>
        <v>13768.199999999999</v>
      </c>
      <c r="E243" s="399">
        <f t="shared" si="92"/>
        <v>83.3</v>
      </c>
      <c r="F243" s="398">
        <f t="shared" si="92"/>
        <v>999.59999999999991</v>
      </c>
      <c r="G243" s="396"/>
      <c r="H243" s="399">
        <f t="shared" si="92"/>
        <v>610</v>
      </c>
      <c r="I243" s="399">
        <f t="shared" si="92"/>
        <v>7320</v>
      </c>
      <c r="J243" s="399">
        <f t="shared" si="92"/>
        <v>1181.95</v>
      </c>
      <c r="K243" s="398">
        <f t="shared" si="92"/>
        <v>14183.400000000001</v>
      </c>
      <c r="L243" s="399">
        <f t="shared" si="92"/>
        <v>3022.6</v>
      </c>
      <c r="M243" s="399">
        <f t="shared" si="92"/>
        <v>36271.199999999997</v>
      </c>
      <c r="N243" s="396">
        <f t="shared" si="92"/>
        <v>836.78</v>
      </c>
      <c r="O243" s="399">
        <f t="shared" si="92"/>
        <v>60.74</v>
      </c>
      <c r="P243" s="399">
        <f t="shared" si="92"/>
        <v>897.52</v>
      </c>
      <c r="Q243" s="399">
        <f t="shared" si="92"/>
        <v>610</v>
      </c>
      <c r="R243" s="399">
        <f t="shared" si="92"/>
        <v>1181.95</v>
      </c>
      <c r="S243" s="398">
        <f t="shared" si="92"/>
        <v>2689.4700000000003</v>
      </c>
      <c r="T243" s="396">
        <f t="shared" si="92"/>
        <v>41650.14</v>
      </c>
      <c r="U243" s="399">
        <f t="shared" si="92"/>
        <v>13744.546200000001</v>
      </c>
      <c r="V243" s="398">
        <f t="shared" si="92"/>
        <v>55394.686199999996</v>
      </c>
    </row>
    <row r="244" spans="1:22" s="1" customFormat="1" ht="17.25" thickBot="1" x14ac:dyDescent="0.3">
      <c r="A244" s="457"/>
      <c r="B244" s="299"/>
      <c r="C244" s="194" t="s">
        <v>166</v>
      </c>
      <c r="D244" s="194"/>
      <c r="E244" s="194" t="s">
        <v>167</v>
      </c>
      <c r="F244" s="195"/>
      <c r="G244" s="196"/>
      <c r="H244" s="194"/>
      <c r="I244" s="194" t="s">
        <v>168</v>
      </c>
      <c r="J244" s="194"/>
      <c r="K244" s="195" t="s">
        <v>169</v>
      </c>
      <c r="L244" s="245"/>
      <c r="M244" s="245"/>
      <c r="N244" s="196"/>
      <c r="O244" s="194"/>
      <c r="P244" s="194" t="s">
        <v>166</v>
      </c>
      <c r="Q244" s="194" t="s">
        <v>168</v>
      </c>
      <c r="R244" s="194" t="s">
        <v>169</v>
      </c>
      <c r="S244" s="289"/>
      <c r="T244" s="420"/>
      <c r="U244" s="421"/>
      <c r="V244" s="422"/>
    </row>
    <row r="245" spans="1:22" s="1" customFormat="1" ht="17.25" thickBot="1" x14ac:dyDescent="0.3">
      <c r="A245" s="453"/>
      <c r="B245" s="309"/>
      <c r="C245" s="294"/>
      <c r="D245" s="294"/>
      <c r="E245" s="294"/>
      <c r="F245" s="294"/>
      <c r="G245" s="380"/>
      <c r="H245" s="433"/>
      <c r="I245" s="294"/>
      <c r="J245" s="294"/>
      <c r="K245" s="294"/>
      <c r="L245" s="294"/>
      <c r="M245" s="294"/>
      <c r="N245" s="294"/>
      <c r="O245" s="294"/>
      <c r="P245" s="294"/>
      <c r="Q245" s="294"/>
      <c r="R245" s="294"/>
      <c r="S245" s="294"/>
      <c r="T245" s="294"/>
      <c r="U245" s="294"/>
      <c r="V245" s="304"/>
    </row>
    <row r="246" spans="1:22" s="1" customFormat="1" ht="16.5" x14ac:dyDescent="0.25">
      <c r="A246" s="543" t="s">
        <v>34</v>
      </c>
      <c r="B246" s="544"/>
      <c r="C246" s="544"/>
      <c r="D246" s="544"/>
      <c r="E246" s="544"/>
      <c r="F246" s="544"/>
      <c r="G246" s="544"/>
      <c r="H246" s="544"/>
      <c r="I246" s="544"/>
      <c r="J246" s="544"/>
      <c r="K246" s="544"/>
      <c r="L246" s="544"/>
      <c r="M246" s="544"/>
      <c r="N246" s="544"/>
      <c r="O246" s="544"/>
      <c r="P246" s="544"/>
      <c r="Q246" s="544"/>
      <c r="R246" s="544"/>
      <c r="S246" s="544"/>
      <c r="T246" s="544"/>
      <c r="U246" s="544"/>
      <c r="V246" s="545"/>
    </row>
    <row r="247" spans="1:22" s="1" customFormat="1" ht="17.25" thickBot="1" x14ac:dyDescent="0.25">
      <c r="A247" s="540">
        <v>410</v>
      </c>
      <c r="B247" s="541"/>
      <c r="C247" s="541"/>
      <c r="D247" s="541"/>
      <c r="E247" s="541"/>
      <c r="F247" s="541"/>
      <c r="G247" s="541"/>
      <c r="H247" s="541"/>
      <c r="I247" s="541"/>
      <c r="J247" s="541"/>
      <c r="K247" s="541"/>
      <c r="L247" s="541"/>
      <c r="M247" s="541"/>
      <c r="N247" s="541"/>
      <c r="O247" s="541"/>
      <c r="P247" s="541"/>
      <c r="Q247" s="541"/>
      <c r="R247" s="541"/>
      <c r="S247" s="541"/>
      <c r="T247" s="541"/>
      <c r="U247" s="541"/>
      <c r="V247" s="542"/>
    </row>
    <row r="248" spans="1:22" s="1" customFormat="1" ht="16.5" x14ac:dyDescent="0.25">
      <c r="A248" s="211"/>
      <c r="B248" s="169"/>
      <c r="C248" s="167"/>
      <c r="D248" s="167" t="s">
        <v>117</v>
      </c>
      <c r="E248" s="167"/>
      <c r="F248" s="168">
        <v>12006</v>
      </c>
      <c r="G248" s="167"/>
      <c r="H248" s="167">
        <v>12100</v>
      </c>
      <c r="I248" s="167">
        <v>12100</v>
      </c>
      <c r="J248" s="167">
        <v>12101</v>
      </c>
      <c r="K248" s="167">
        <v>12101</v>
      </c>
      <c r="L248" s="199"/>
      <c r="M248" s="385"/>
      <c r="N248" s="167"/>
      <c r="O248" s="167"/>
      <c r="P248" s="167">
        <v>120</v>
      </c>
      <c r="Q248" s="167">
        <v>12100</v>
      </c>
      <c r="R248" s="167">
        <v>12101</v>
      </c>
      <c r="S248" s="167"/>
      <c r="T248" s="169"/>
      <c r="U248" s="296"/>
      <c r="V248" s="406"/>
    </row>
    <row r="249" spans="1:22" s="1" customFormat="1" ht="16.5" x14ac:dyDescent="0.25">
      <c r="A249" s="454"/>
      <c r="B249" s="510" t="s">
        <v>123</v>
      </c>
      <c r="C249" s="511"/>
      <c r="D249" s="511"/>
      <c r="E249" s="511"/>
      <c r="F249" s="512"/>
      <c r="G249" s="513" t="s">
        <v>124</v>
      </c>
      <c r="H249" s="513"/>
      <c r="I249" s="513"/>
      <c r="J249" s="513"/>
      <c r="K249" s="513"/>
      <c r="L249" s="564" t="s">
        <v>132</v>
      </c>
      <c r="M249" s="565" t="s">
        <v>133</v>
      </c>
      <c r="N249" s="566" t="s">
        <v>2</v>
      </c>
      <c r="O249" s="566"/>
      <c r="P249" s="566"/>
      <c r="Q249" s="566"/>
      <c r="R249" s="566"/>
      <c r="S249" s="566"/>
      <c r="T249" s="343"/>
      <c r="U249" s="280"/>
      <c r="V249" s="407"/>
    </row>
    <row r="250" spans="1:22" s="1" customFormat="1" ht="33.75" thickBot="1" x14ac:dyDescent="0.25">
      <c r="A250" s="212"/>
      <c r="B250" s="268" t="s">
        <v>6</v>
      </c>
      <c r="C250" s="173" t="s">
        <v>144</v>
      </c>
      <c r="D250" s="173" t="s">
        <v>139</v>
      </c>
      <c r="E250" s="173" t="s">
        <v>145</v>
      </c>
      <c r="F250" s="174" t="s">
        <v>140</v>
      </c>
      <c r="G250" s="200" t="s">
        <v>9</v>
      </c>
      <c r="H250" s="173" t="s">
        <v>136</v>
      </c>
      <c r="I250" s="173" t="s">
        <v>135</v>
      </c>
      <c r="J250" s="173" t="s">
        <v>134</v>
      </c>
      <c r="K250" s="173" t="s">
        <v>137</v>
      </c>
      <c r="L250" s="552"/>
      <c r="M250" s="554"/>
      <c r="N250" s="173" t="s">
        <v>10</v>
      </c>
      <c r="O250" s="173" t="s">
        <v>11</v>
      </c>
      <c r="P250" s="173" t="s">
        <v>120</v>
      </c>
      <c r="Q250" s="173" t="s">
        <v>122</v>
      </c>
      <c r="R250" s="173" t="s">
        <v>121</v>
      </c>
      <c r="S250" s="173" t="s">
        <v>116</v>
      </c>
      <c r="T250" s="303" t="s">
        <v>141</v>
      </c>
      <c r="U250" s="173" t="s">
        <v>143</v>
      </c>
      <c r="V250" s="176" t="s">
        <v>142</v>
      </c>
    </row>
    <row r="251" spans="1:22" s="1" customFormat="1" ht="16.5" x14ac:dyDescent="0.2">
      <c r="A251" s="213"/>
      <c r="B251" s="269"/>
      <c r="C251" s="214"/>
      <c r="D251" s="214"/>
      <c r="E251" s="214"/>
      <c r="F251" s="215"/>
      <c r="G251" s="231"/>
      <c r="H251" s="217"/>
      <c r="I251" s="214"/>
      <c r="J251" s="214"/>
      <c r="K251" s="214"/>
      <c r="L251" s="218"/>
      <c r="M251" s="423"/>
      <c r="N251" s="214"/>
      <c r="O251" s="284"/>
      <c r="P251" s="284"/>
      <c r="Q251" s="214"/>
      <c r="R251" s="214"/>
      <c r="S251" s="214"/>
      <c r="T251" s="269"/>
      <c r="U251" s="214"/>
      <c r="V251" s="424"/>
    </row>
    <row r="252" spans="1:22" s="33" customFormat="1" ht="20.100000000000001" customHeight="1" x14ac:dyDescent="0.25">
      <c r="A252" s="450" t="s">
        <v>247</v>
      </c>
      <c r="B252" s="251" t="s">
        <v>17</v>
      </c>
      <c r="C252" s="166">
        <f>'RETRIBUCIONES 2025'!$F$4</f>
        <v>716.98</v>
      </c>
      <c r="D252" s="166">
        <f>C252*12</f>
        <v>8603.76</v>
      </c>
      <c r="E252" s="166">
        <f>'RETRIBUCIONES 2025'!$F$5*4</f>
        <v>85.84</v>
      </c>
      <c r="F252" s="177">
        <f>E252*12</f>
        <v>1030.08</v>
      </c>
      <c r="G252" s="165" t="s">
        <v>51</v>
      </c>
      <c r="H252" s="166">
        <f>'RETRIBUCIONES 2025'!$K$14</f>
        <v>472.37</v>
      </c>
      <c r="I252" s="166">
        <f>H252*12</f>
        <v>5668.4400000000005</v>
      </c>
      <c r="J252" s="166">
        <v>610.34</v>
      </c>
      <c r="K252" s="285">
        <f>J252*12</f>
        <v>7324.08</v>
      </c>
      <c r="L252" s="201">
        <f>C252+E252+H252+J252</f>
        <v>1885.5300000000002</v>
      </c>
      <c r="M252" s="408">
        <f>D252+F252+I252+K252</f>
        <v>22626.36</v>
      </c>
      <c r="N252" s="285">
        <f>'RETRIBUCIONES 2025'!$F$9</f>
        <v>710.44</v>
      </c>
      <c r="O252" s="166">
        <f>'RETRIBUCIONES 2025'!$F$10*4</f>
        <v>84.96</v>
      </c>
      <c r="P252" s="285">
        <f>SUM(N252:O252)</f>
        <v>795.40000000000009</v>
      </c>
      <c r="Q252" s="285">
        <f>H252</f>
        <v>472.37</v>
      </c>
      <c r="R252" s="285">
        <f>J252</f>
        <v>610.34</v>
      </c>
      <c r="S252" s="285">
        <f>SUM(P252:R252)</f>
        <v>1878.1100000000001</v>
      </c>
      <c r="T252" s="219">
        <f>M252+S252*2</f>
        <v>26382.58</v>
      </c>
      <c r="U252" s="285">
        <f>T252*0.33</f>
        <v>8706.251400000001</v>
      </c>
      <c r="V252" s="407">
        <f>SUM(T252:U252)</f>
        <v>35088.831400000003</v>
      </c>
    </row>
    <row r="253" spans="1:22" s="1" customFormat="1" ht="16.5" x14ac:dyDescent="0.25">
      <c r="A253" s="454"/>
      <c r="B253" s="251"/>
      <c r="C253" s="166"/>
      <c r="D253" s="166"/>
      <c r="E253" s="166"/>
      <c r="F253" s="177"/>
      <c r="G253" s="165"/>
      <c r="H253" s="166"/>
      <c r="I253" s="166"/>
      <c r="J253" s="166"/>
      <c r="K253" s="285"/>
      <c r="L253" s="201"/>
      <c r="M253" s="408"/>
      <c r="N253" s="285"/>
      <c r="O253" s="285"/>
      <c r="P253" s="285"/>
      <c r="Q253" s="285"/>
      <c r="R253" s="285"/>
      <c r="S253" s="285"/>
      <c r="T253" s="219"/>
      <c r="U253" s="285"/>
      <c r="V253" s="407"/>
    </row>
    <row r="254" spans="1:22" s="27" customFormat="1" ht="16.5" x14ac:dyDescent="0.25">
      <c r="A254" s="456" t="s">
        <v>77</v>
      </c>
      <c r="B254" s="257"/>
      <c r="C254" s="190">
        <f>SUM(C252:C253)</f>
        <v>716.98</v>
      </c>
      <c r="D254" s="190">
        <f t="shared" ref="D254:V254" si="93">SUM(D252:D253)</f>
        <v>8603.76</v>
      </c>
      <c r="E254" s="190">
        <f t="shared" si="93"/>
        <v>85.84</v>
      </c>
      <c r="F254" s="221">
        <f t="shared" si="93"/>
        <v>1030.08</v>
      </c>
      <c r="G254" s="190"/>
      <c r="H254" s="190">
        <f t="shared" si="93"/>
        <v>472.37</v>
      </c>
      <c r="I254" s="190">
        <f t="shared" si="93"/>
        <v>5668.4400000000005</v>
      </c>
      <c r="J254" s="190">
        <f t="shared" si="93"/>
        <v>610.34</v>
      </c>
      <c r="K254" s="190">
        <f t="shared" si="93"/>
        <v>7324.08</v>
      </c>
      <c r="L254" s="222">
        <f t="shared" si="93"/>
        <v>1885.5300000000002</v>
      </c>
      <c r="M254" s="221">
        <f t="shared" si="93"/>
        <v>22626.36</v>
      </c>
      <c r="N254" s="190">
        <f t="shared" si="93"/>
        <v>710.44</v>
      </c>
      <c r="O254" s="190">
        <f t="shared" si="93"/>
        <v>84.96</v>
      </c>
      <c r="P254" s="190">
        <f t="shared" si="93"/>
        <v>795.40000000000009</v>
      </c>
      <c r="Q254" s="190">
        <f t="shared" si="93"/>
        <v>472.37</v>
      </c>
      <c r="R254" s="190">
        <f t="shared" si="93"/>
        <v>610.34</v>
      </c>
      <c r="S254" s="190">
        <f t="shared" si="93"/>
        <v>1878.1100000000001</v>
      </c>
      <c r="T254" s="222">
        <f t="shared" si="93"/>
        <v>26382.58</v>
      </c>
      <c r="U254" s="190">
        <f t="shared" si="93"/>
        <v>8706.251400000001</v>
      </c>
      <c r="V254" s="221">
        <f t="shared" si="93"/>
        <v>35088.831400000003</v>
      </c>
    </row>
    <row r="255" spans="1:22" s="27" customFormat="1" ht="17.25" thickBot="1" x14ac:dyDescent="0.3">
      <c r="A255" s="459"/>
      <c r="B255" s="299"/>
      <c r="C255" s="194" t="s">
        <v>170</v>
      </c>
      <c r="D255" s="194"/>
      <c r="E255" s="194" t="s">
        <v>171</v>
      </c>
      <c r="F255" s="195"/>
      <c r="G255" s="194"/>
      <c r="H255" s="194"/>
      <c r="I255" s="194" t="s">
        <v>172</v>
      </c>
      <c r="J255" s="194"/>
      <c r="K255" s="194" t="s">
        <v>173</v>
      </c>
      <c r="L255" s="209"/>
      <c r="M255" s="403"/>
      <c r="N255" s="194"/>
      <c r="O255" s="194"/>
      <c r="P255" s="194" t="s">
        <v>170</v>
      </c>
      <c r="Q255" s="194" t="s">
        <v>172</v>
      </c>
      <c r="R255" s="194" t="s">
        <v>173</v>
      </c>
      <c r="S255" s="291"/>
      <c r="T255" s="420"/>
      <c r="U255" s="421"/>
      <c r="V255" s="422"/>
    </row>
    <row r="256" spans="1:22" s="1" customFormat="1" ht="16.5" x14ac:dyDescent="0.25">
      <c r="A256" s="454"/>
      <c r="B256" s="293"/>
      <c r="C256" s="166"/>
      <c r="D256" s="166"/>
      <c r="E256" s="166"/>
      <c r="F256" s="166"/>
      <c r="G256" s="164"/>
      <c r="H256" s="165"/>
      <c r="I256" s="166"/>
      <c r="J256" s="166"/>
      <c r="K256" s="166"/>
      <c r="L256" s="166"/>
      <c r="M256" s="285"/>
      <c r="N256" s="285"/>
      <c r="O256" s="294"/>
      <c r="P256" s="294"/>
      <c r="Q256" s="285"/>
      <c r="R256" s="285"/>
      <c r="S256" s="285"/>
      <c r="T256" s="285"/>
      <c r="U256" s="285"/>
      <c r="V256" s="281"/>
    </row>
    <row r="257" spans="1:32" s="1" customFormat="1" ht="16.5" x14ac:dyDescent="0.25">
      <c r="A257" s="454"/>
      <c r="B257" s="285"/>
      <c r="C257" s="285"/>
      <c r="D257" s="285"/>
      <c r="E257" s="285"/>
      <c r="F257" s="285"/>
      <c r="G257" s="285"/>
      <c r="H257" s="285"/>
      <c r="I257" s="285"/>
      <c r="J257" s="285"/>
      <c r="K257" s="285"/>
      <c r="L257" s="285"/>
      <c r="M257" s="285"/>
      <c r="N257" s="285"/>
      <c r="O257" s="285"/>
      <c r="P257" s="285"/>
      <c r="Q257" s="285"/>
      <c r="R257" s="285"/>
      <c r="S257" s="285"/>
      <c r="T257" s="285"/>
      <c r="U257" s="285"/>
      <c r="V257" s="281"/>
    </row>
    <row r="258" spans="1:32" s="1" customFormat="1" ht="17.25" thickBot="1" x14ac:dyDescent="0.3">
      <c r="A258" s="454"/>
      <c r="B258" s="293"/>
      <c r="C258" s="197"/>
      <c r="D258" s="197"/>
      <c r="E258" s="197"/>
      <c r="F258" s="197"/>
      <c r="G258" s="197"/>
      <c r="H258" s="197"/>
      <c r="I258" s="197"/>
      <c r="J258" s="197"/>
      <c r="K258" s="197"/>
      <c r="L258" s="197"/>
      <c r="M258" s="197"/>
      <c r="N258" s="197"/>
      <c r="O258" s="197"/>
      <c r="P258" s="197"/>
      <c r="Q258" s="197"/>
      <c r="R258" s="197"/>
      <c r="S258" s="285"/>
      <c r="T258" s="280"/>
      <c r="U258" s="410"/>
      <c r="V258" s="429"/>
    </row>
    <row r="259" spans="1:32" s="1" customFormat="1" ht="16.5" x14ac:dyDescent="0.2">
      <c r="A259" s="498" t="s">
        <v>62</v>
      </c>
      <c r="B259" s="499"/>
      <c r="C259" s="499"/>
      <c r="D259" s="499"/>
      <c r="E259" s="499"/>
      <c r="F259" s="499"/>
      <c r="G259" s="499"/>
      <c r="H259" s="499"/>
      <c r="I259" s="499"/>
      <c r="J259" s="499"/>
      <c r="K259" s="499"/>
      <c r="L259" s="499"/>
      <c r="M259" s="499"/>
      <c r="N259" s="499"/>
      <c r="O259" s="499"/>
      <c r="P259" s="499"/>
      <c r="Q259" s="499"/>
      <c r="R259" s="499"/>
      <c r="S259" s="499"/>
      <c r="T259" s="499"/>
      <c r="U259" s="499"/>
      <c r="V259" s="500"/>
    </row>
    <row r="260" spans="1:32" s="1" customFormat="1" ht="16.5" x14ac:dyDescent="0.2">
      <c r="A260" s="501">
        <v>231</v>
      </c>
      <c r="B260" s="502"/>
      <c r="C260" s="502"/>
      <c r="D260" s="502"/>
      <c r="E260" s="502"/>
      <c r="F260" s="502"/>
      <c r="G260" s="502"/>
      <c r="H260" s="502"/>
      <c r="I260" s="502"/>
      <c r="J260" s="502"/>
      <c r="K260" s="502"/>
      <c r="L260" s="502"/>
      <c r="M260" s="502"/>
      <c r="N260" s="502"/>
      <c r="O260" s="502"/>
      <c r="P260" s="502"/>
      <c r="Q260" s="502"/>
      <c r="R260" s="502"/>
      <c r="S260" s="502"/>
      <c r="T260" s="502"/>
      <c r="U260" s="502"/>
      <c r="V260" s="503"/>
    </row>
    <row r="261" spans="1:32" s="1" customFormat="1" ht="17.25" thickBot="1" x14ac:dyDescent="0.25">
      <c r="A261" s="504" t="s">
        <v>60</v>
      </c>
      <c r="B261" s="505"/>
      <c r="C261" s="505"/>
      <c r="D261" s="505"/>
      <c r="E261" s="505"/>
      <c r="F261" s="505"/>
      <c r="G261" s="505"/>
      <c r="H261" s="505"/>
      <c r="I261" s="505"/>
      <c r="J261" s="505"/>
      <c r="K261" s="505"/>
      <c r="L261" s="505"/>
      <c r="M261" s="505"/>
      <c r="N261" s="505"/>
      <c r="O261" s="505"/>
      <c r="P261" s="505"/>
      <c r="Q261" s="505"/>
      <c r="R261" s="505"/>
      <c r="S261" s="505"/>
      <c r="T261" s="505"/>
      <c r="U261" s="505"/>
      <c r="V261" s="506"/>
      <c r="W261" s="148"/>
      <c r="X261" s="148"/>
      <c r="Y261" s="148"/>
      <c r="Z261" s="148"/>
      <c r="AA261" s="148"/>
      <c r="AB261" s="148"/>
      <c r="AC261" s="148"/>
      <c r="AD261" s="148"/>
      <c r="AE261" s="148"/>
      <c r="AF261" s="148"/>
    </row>
    <row r="262" spans="1:32" s="1" customFormat="1" ht="16.5" x14ac:dyDescent="0.25">
      <c r="A262" s="507"/>
      <c r="B262" s="169"/>
      <c r="C262" s="167"/>
      <c r="D262" s="167" t="s">
        <v>117</v>
      </c>
      <c r="E262" s="167"/>
      <c r="F262" s="168">
        <v>12006</v>
      </c>
      <c r="G262" s="167"/>
      <c r="H262" s="167">
        <v>12100</v>
      </c>
      <c r="I262" s="167">
        <v>12100</v>
      </c>
      <c r="J262" s="167">
        <v>12101</v>
      </c>
      <c r="K262" s="167">
        <v>12101</v>
      </c>
      <c r="L262" s="199"/>
      <c r="M262" s="385"/>
      <c r="N262" s="167"/>
      <c r="O262" s="167"/>
      <c r="P262" s="167">
        <v>120</v>
      </c>
      <c r="Q262" s="167">
        <v>12100</v>
      </c>
      <c r="R262" s="167">
        <v>12101</v>
      </c>
      <c r="S262" s="168"/>
      <c r="T262" s="167"/>
      <c r="U262" s="296"/>
      <c r="V262" s="406"/>
    </row>
    <row r="263" spans="1:32" s="1" customFormat="1" ht="16.5" x14ac:dyDescent="0.25">
      <c r="A263" s="508"/>
      <c r="B263" s="510" t="s">
        <v>123</v>
      </c>
      <c r="C263" s="511"/>
      <c r="D263" s="511"/>
      <c r="E263" s="511"/>
      <c r="F263" s="512"/>
      <c r="G263" s="513" t="s">
        <v>124</v>
      </c>
      <c r="H263" s="513"/>
      <c r="I263" s="513"/>
      <c r="J263" s="513"/>
      <c r="K263" s="513"/>
      <c r="L263" s="564" t="s">
        <v>132</v>
      </c>
      <c r="M263" s="565" t="s">
        <v>133</v>
      </c>
      <c r="N263" s="566" t="s">
        <v>2</v>
      </c>
      <c r="O263" s="566"/>
      <c r="P263" s="566"/>
      <c r="Q263" s="566"/>
      <c r="R263" s="566"/>
      <c r="S263" s="573"/>
      <c r="T263" s="279"/>
      <c r="U263" s="280"/>
      <c r="V263" s="407"/>
    </row>
    <row r="264" spans="1:32" s="1" customFormat="1" ht="33.75" thickBot="1" x14ac:dyDescent="0.25">
      <c r="A264" s="509"/>
      <c r="B264" s="268" t="s">
        <v>6</v>
      </c>
      <c r="C264" s="173" t="s">
        <v>144</v>
      </c>
      <c r="D264" s="173" t="s">
        <v>139</v>
      </c>
      <c r="E264" s="173" t="s">
        <v>145</v>
      </c>
      <c r="F264" s="174" t="s">
        <v>140</v>
      </c>
      <c r="G264" s="200" t="s">
        <v>9</v>
      </c>
      <c r="H264" s="173" t="s">
        <v>136</v>
      </c>
      <c r="I264" s="173" t="s">
        <v>135</v>
      </c>
      <c r="J264" s="173" t="s">
        <v>134</v>
      </c>
      <c r="K264" s="173" t="s">
        <v>137</v>
      </c>
      <c r="L264" s="552"/>
      <c r="M264" s="554"/>
      <c r="N264" s="173" t="s">
        <v>10</v>
      </c>
      <c r="O264" s="173" t="s">
        <v>11</v>
      </c>
      <c r="P264" s="173" t="s">
        <v>120</v>
      </c>
      <c r="Q264" s="173" t="s">
        <v>122</v>
      </c>
      <c r="R264" s="173" t="s">
        <v>121</v>
      </c>
      <c r="S264" s="174" t="s">
        <v>116</v>
      </c>
      <c r="T264" s="283" t="s">
        <v>141</v>
      </c>
      <c r="U264" s="173" t="s">
        <v>143</v>
      </c>
      <c r="V264" s="176" t="s">
        <v>142</v>
      </c>
    </row>
    <row r="265" spans="1:32" s="1" customFormat="1" ht="16.5" x14ac:dyDescent="0.25">
      <c r="A265" s="465"/>
      <c r="B265" s="246"/>
      <c r="C265" s="247"/>
      <c r="D265" s="247"/>
      <c r="E265" s="247"/>
      <c r="F265" s="248"/>
      <c r="G265" s="249"/>
      <c r="H265" s="250"/>
      <c r="I265" s="247"/>
      <c r="J265" s="247"/>
      <c r="K265" s="434"/>
      <c r="L265" s="435"/>
      <c r="M265" s="436"/>
      <c r="N265" s="434"/>
      <c r="O265" s="437"/>
      <c r="P265" s="437"/>
      <c r="Q265" s="434"/>
      <c r="R265" s="434"/>
      <c r="S265" s="434"/>
      <c r="T265" s="438"/>
      <c r="U265" s="439"/>
      <c r="V265" s="440"/>
    </row>
    <row r="266" spans="1:32" s="1" customFormat="1" ht="16.5" x14ac:dyDescent="0.25">
      <c r="A266" s="466"/>
      <c r="B266" s="251"/>
      <c r="C266" s="166"/>
      <c r="D266" s="166"/>
      <c r="E266" s="166"/>
      <c r="F266" s="252"/>
      <c r="G266" s="164"/>
      <c r="H266" s="253"/>
      <c r="I266" s="166"/>
      <c r="J266" s="166"/>
      <c r="K266" s="285"/>
      <c r="L266" s="441"/>
      <c r="M266" s="408"/>
      <c r="N266" s="285"/>
      <c r="O266" s="294"/>
      <c r="P266" s="294"/>
      <c r="Q266" s="285"/>
      <c r="R266" s="285"/>
      <c r="S266" s="285"/>
      <c r="T266" s="409"/>
      <c r="U266" s="410"/>
      <c r="V266" s="426"/>
    </row>
    <row r="267" spans="1:32" s="1" customFormat="1" ht="16.5" x14ac:dyDescent="0.25">
      <c r="A267" s="460" t="s">
        <v>250</v>
      </c>
      <c r="B267" s="251" t="s">
        <v>12</v>
      </c>
      <c r="C267" s="166">
        <f>'RETRIBUCIONES 2025'!$B$4*0.5</f>
        <v>663.45</v>
      </c>
      <c r="D267" s="166">
        <f>C267*12</f>
        <v>7961.4000000000005</v>
      </c>
      <c r="E267" s="166">
        <f>2*('RETRIBUCIONES 2025'!$B$5)/2</f>
        <v>51.07</v>
      </c>
      <c r="F267" s="177">
        <f>E267*12</f>
        <v>612.84</v>
      </c>
      <c r="G267" s="253">
        <v>24</v>
      </c>
      <c r="H267" s="166">
        <f>'RETRIBUCIONES 2025'!$Q$14*0.5</f>
        <v>348.71499999999997</v>
      </c>
      <c r="I267" s="166">
        <f>H267*12</f>
        <v>4184.58</v>
      </c>
      <c r="J267" s="285">
        <f>688.54*0.5</f>
        <v>344.27</v>
      </c>
      <c r="K267" s="285">
        <f>J267*12</f>
        <v>4131.24</v>
      </c>
      <c r="L267" s="441">
        <f>C267+E267+H267+J267</f>
        <v>1407.5050000000001</v>
      </c>
      <c r="M267" s="408">
        <f>D267+F267+I267+K267</f>
        <v>16890.059999999998</v>
      </c>
      <c r="N267" s="285">
        <f>'RETRIBUCIONES 2025'!$B$9*0.5</f>
        <v>409.41</v>
      </c>
      <c r="O267" s="285">
        <f>2*('RETRIBUCIONES 2025'!B10)/2</f>
        <v>31.53</v>
      </c>
      <c r="P267" s="285">
        <f>SUM(N267:O267)</f>
        <v>440.94000000000005</v>
      </c>
      <c r="Q267" s="285">
        <f>H267</f>
        <v>348.71499999999997</v>
      </c>
      <c r="R267" s="285">
        <f>J267</f>
        <v>344.27</v>
      </c>
      <c r="S267" s="285">
        <f>SUM(P267:R267)</f>
        <v>1133.925</v>
      </c>
      <c r="T267" s="409">
        <f>M267+S267*2</f>
        <v>19157.909999999996</v>
      </c>
      <c r="U267" s="410">
        <f>T267*0.33</f>
        <v>6322.1102999999994</v>
      </c>
      <c r="V267" s="426">
        <f>SUM(T267:U267)</f>
        <v>25480.020299999996</v>
      </c>
    </row>
    <row r="268" spans="1:32" s="1" customFormat="1" ht="16.5" x14ac:dyDescent="0.25">
      <c r="A268" s="461"/>
      <c r="B268" s="251"/>
      <c r="C268" s="166"/>
      <c r="D268" s="166"/>
      <c r="E268" s="166"/>
      <c r="F268" s="177"/>
      <c r="G268" s="253"/>
      <c r="H268" s="166"/>
      <c r="I268" s="166"/>
      <c r="J268" s="285"/>
      <c r="K268" s="285"/>
      <c r="L268" s="441"/>
      <c r="M268" s="408"/>
      <c r="N268" s="285"/>
      <c r="O268" s="285"/>
      <c r="P268" s="285"/>
      <c r="Q268" s="285"/>
      <c r="R268" s="285"/>
      <c r="S268" s="285"/>
      <c r="T268" s="409"/>
      <c r="U268" s="410"/>
      <c r="V268" s="426"/>
    </row>
    <row r="269" spans="1:32" s="1" customFormat="1" ht="16.5" x14ac:dyDescent="0.25">
      <c r="A269" s="460" t="s">
        <v>251</v>
      </c>
      <c r="B269" s="251" t="s">
        <v>12</v>
      </c>
      <c r="C269" s="166">
        <f>'RETRIBUCIONES 2025'!$B$4</f>
        <v>1326.9</v>
      </c>
      <c r="D269" s="166">
        <f t="shared" ref="D269:D292" si="94">C269*12</f>
        <v>15922.800000000001</v>
      </c>
      <c r="E269" s="166">
        <f>'RETRIBUCIONES 2025'!$B$5*3</f>
        <v>153.21</v>
      </c>
      <c r="F269" s="177">
        <f t="shared" ref="F269:F292" si="95">E269*12</f>
        <v>1838.52</v>
      </c>
      <c r="G269" s="253">
        <v>24</v>
      </c>
      <c r="H269" s="166">
        <f>'RETRIBUCIONES 2025'!$Q$14</f>
        <v>697.43</v>
      </c>
      <c r="I269" s="166">
        <f t="shared" ref="I269:I292" si="96">H269*12</f>
        <v>8369.16</v>
      </c>
      <c r="J269" s="285">
        <v>688.54</v>
      </c>
      <c r="K269" s="285">
        <f t="shared" ref="K269:K292" si="97">J269*12</f>
        <v>8262.48</v>
      </c>
      <c r="L269" s="441">
        <f t="shared" ref="L269:L292" si="98">C269+E269+H269+J269</f>
        <v>2866.08</v>
      </c>
      <c r="M269" s="408">
        <f t="shared" ref="M269:M292" si="99">D269+F269+I269+K269</f>
        <v>34392.959999999999</v>
      </c>
      <c r="N269" s="285">
        <f>'RETRIBUCIONES 2025'!$B$9</f>
        <v>818.82</v>
      </c>
      <c r="O269" s="285">
        <f>'RETRIBUCIONES 2025'!B10*3</f>
        <v>94.59</v>
      </c>
      <c r="P269" s="285">
        <f>SUM(N269:O269)</f>
        <v>913.41000000000008</v>
      </c>
      <c r="Q269" s="285">
        <f t="shared" ref="Q269:Q292" si="100">H269</f>
        <v>697.43</v>
      </c>
      <c r="R269" s="285">
        <f t="shared" ref="R269:R292" si="101">J269</f>
        <v>688.54</v>
      </c>
      <c r="S269" s="285">
        <f t="shared" ref="S269:S292" si="102">SUM(P269:R269)</f>
        <v>2299.38</v>
      </c>
      <c r="T269" s="409">
        <f t="shared" ref="T269:T292" si="103">M269+S269*2</f>
        <v>38991.72</v>
      </c>
      <c r="U269" s="410">
        <f t="shared" ref="U269:U292" si="104">T269*0.33</f>
        <v>12867.267600000001</v>
      </c>
      <c r="V269" s="426">
        <f t="shared" ref="V269:V292" si="105">SUM(T269:U269)</f>
        <v>51858.9876</v>
      </c>
    </row>
    <row r="270" spans="1:32" s="1" customFormat="1" ht="16.5" x14ac:dyDescent="0.25">
      <c r="A270" s="461"/>
      <c r="B270" s="251"/>
      <c r="C270" s="166"/>
      <c r="D270" s="166"/>
      <c r="E270" s="188"/>
      <c r="F270" s="177"/>
      <c r="G270" s="164"/>
      <c r="H270" s="253"/>
      <c r="I270" s="166"/>
      <c r="J270" s="166"/>
      <c r="K270" s="285"/>
      <c r="L270" s="441"/>
      <c r="M270" s="408"/>
      <c r="N270" s="285"/>
      <c r="O270" s="294"/>
      <c r="P270" s="294"/>
      <c r="Q270" s="285"/>
      <c r="R270" s="285"/>
      <c r="S270" s="285"/>
      <c r="T270" s="409"/>
      <c r="U270" s="410"/>
      <c r="V270" s="426"/>
    </row>
    <row r="271" spans="1:32" s="1" customFormat="1" ht="16.5" x14ac:dyDescent="0.25">
      <c r="A271" s="467" t="s">
        <v>94</v>
      </c>
      <c r="B271" s="254"/>
      <c r="C271" s="183">
        <f>SUM(C267:C269)</f>
        <v>1990.3500000000001</v>
      </c>
      <c r="D271" s="183">
        <f t="shared" ref="D271:V271" si="106">SUM(D267:D269)</f>
        <v>23884.2</v>
      </c>
      <c r="E271" s="183">
        <f t="shared" si="106"/>
        <v>204.28</v>
      </c>
      <c r="F271" s="232">
        <f t="shared" si="106"/>
        <v>2451.36</v>
      </c>
      <c r="G271" s="183"/>
      <c r="H271" s="183">
        <f t="shared" si="106"/>
        <v>1046.145</v>
      </c>
      <c r="I271" s="183">
        <f t="shared" si="106"/>
        <v>12553.74</v>
      </c>
      <c r="J271" s="183">
        <f t="shared" si="106"/>
        <v>1032.81</v>
      </c>
      <c r="K271" s="183">
        <f t="shared" si="106"/>
        <v>12393.72</v>
      </c>
      <c r="L271" s="187">
        <f t="shared" si="106"/>
        <v>4273.585</v>
      </c>
      <c r="M271" s="232">
        <f t="shared" si="106"/>
        <v>51283.02</v>
      </c>
      <c r="N271" s="183">
        <f t="shared" si="106"/>
        <v>1228.23</v>
      </c>
      <c r="O271" s="183">
        <f t="shared" si="106"/>
        <v>126.12</v>
      </c>
      <c r="P271" s="183">
        <f t="shared" si="106"/>
        <v>1354.3500000000001</v>
      </c>
      <c r="Q271" s="183">
        <f t="shared" si="106"/>
        <v>1046.145</v>
      </c>
      <c r="R271" s="183">
        <f t="shared" si="106"/>
        <v>1032.81</v>
      </c>
      <c r="S271" s="183">
        <f t="shared" si="106"/>
        <v>3433.3050000000003</v>
      </c>
      <c r="T271" s="187">
        <f t="shared" si="106"/>
        <v>58149.63</v>
      </c>
      <c r="U271" s="183">
        <f t="shared" si="106"/>
        <v>19189.377899999999</v>
      </c>
      <c r="V271" s="232">
        <f t="shared" si="106"/>
        <v>77339.007899999997</v>
      </c>
    </row>
    <row r="272" spans="1:32" s="1" customFormat="1" ht="16.5" x14ac:dyDescent="0.25">
      <c r="A272" s="461"/>
      <c r="B272" s="251"/>
      <c r="C272" s="285"/>
      <c r="D272" s="166"/>
      <c r="E272" s="166"/>
      <c r="F272" s="177"/>
      <c r="G272" s="164"/>
      <c r="H272" s="166"/>
      <c r="I272" s="166"/>
      <c r="J272" s="165"/>
      <c r="K272" s="285"/>
      <c r="L272" s="441"/>
      <c r="M272" s="408"/>
      <c r="N272" s="166"/>
      <c r="O272" s="294"/>
      <c r="P272" s="294"/>
      <c r="Q272" s="285"/>
      <c r="R272" s="285"/>
      <c r="S272" s="285"/>
      <c r="T272" s="409"/>
      <c r="U272" s="410"/>
      <c r="V272" s="426"/>
    </row>
    <row r="273" spans="1:22" s="1" customFormat="1" ht="16.5" x14ac:dyDescent="0.25">
      <c r="A273" s="460" t="s">
        <v>248</v>
      </c>
      <c r="B273" s="251" t="s">
        <v>13</v>
      </c>
      <c r="C273" s="166">
        <f>'RETRIBUCIONES 2025'!$C$4</f>
        <v>1147.3499999999999</v>
      </c>
      <c r="D273" s="166">
        <f t="shared" si="94"/>
        <v>13768.199999999999</v>
      </c>
      <c r="E273" s="166">
        <v>0</v>
      </c>
      <c r="F273" s="177">
        <f t="shared" si="95"/>
        <v>0</v>
      </c>
      <c r="G273" s="253">
        <v>22</v>
      </c>
      <c r="H273" s="166">
        <f>'RETRIBUCIONES 2025'!$O$14</f>
        <v>610</v>
      </c>
      <c r="I273" s="166">
        <f t="shared" si="96"/>
        <v>7320</v>
      </c>
      <c r="J273" s="285">
        <v>688.54</v>
      </c>
      <c r="K273" s="285">
        <f t="shared" si="97"/>
        <v>8262.48</v>
      </c>
      <c r="L273" s="441">
        <f t="shared" si="98"/>
        <v>2445.89</v>
      </c>
      <c r="M273" s="408">
        <f t="shared" si="99"/>
        <v>29350.679999999997</v>
      </c>
      <c r="N273" s="285">
        <f>'RETRIBUCIONES 2025'!$C$9</f>
        <v>836.78</v>
      </c>
      <c r="O273" s="166">
        <v>0</v>
      </c>
      <c r="P273" s="285">
        <f>SUM(N273:O273)</f>
        <v>836.78</v>
      </c>
      <c r="Q273" s="285">
        <f t="shared" si="100"/>
        <v>610</v>
      </c>
      <c r="R273" s="285">
        <f t="shared" si="101"/>
        <v>688.54</v>
      </c>
      <c r="S273" s="285">
        <f t="shared" si="102"/>
        <v>2135.3199999999997</v>
      </c>
      <c r="T273" s="409">
        <f t="shared" si="103"/>
        <v>33621.319999999992</v>
      </c>
      <c r="U273" s="410">
        <f t="shared" si="104"/>
        <v>11095.035599999997</v>
      </c>
      <c r="V273" s="426">
        <f t="shared" si="105"/>
        <v>44716.355599999988</v>
      </c>
    </row>
    <row r="274" spans="1:22" s="1" customFormat="1" ht="16.5" x14ac:dyDescent="0.25">
      <c r="A274" s="461"/>
      <c r="B274" s="251"/>
      <c r="C274" s="166"/>
      <c r="D274" s="166"/>
      <c r="E274" s="188"/>
      <c r="F274" s="177"/>
      <c r="G274" s="253"/>
      <c r="H274" s="166"/>
      <c r="I274" s="166"/>
      <c r="J274" s="285"/>
      <c r="K274" s="285"/>
      <c r="L274" s="441"/>
      <c r="M274" s="408"/>
      <c r="N274" s="285"/>
      <c r="O274" s="285"/>
      <c r="P274" s="285"/>
      <c r="Q274" s="285"/>
      <c r="R274" s="285"/>
      <c r="S274" s="285"/>
      <c r="T274" s="409"/>
      <c r="U274" s="410"/>
      <c r="V274" s="426"/>
    </row>
    <row r="275" spans="1:22" s="1" customFormat="1" ht="16.5" x14ac:dyDescent="0.25">
      <c r="A275" s="460" t="s">
        <v>248</v>
      </c>
      <c r="B275" s="251" t="s">
        <v>13</v>
      </c>
      <c r="C275" s="166">
        <f>'RETRIBUCIONES 2025'!$C$4</f>
        <v>1147.3499999999999</v>
      </c>
      <c r="D275" s="166">
        <f t="shared" si="94"/>
        <v>13768.199999999999</v>
      </c>
      <c r="E275" s="166">
        <f>'RETRIBUCIONES 2025'!$C$5*5</f>
        <v>208.25</v>
      </c>
      <c r="F275" s="177">
        <f t="shared" si="95"/>
        <v>2499</v>
      </c>
      <c r="G275" s="253">
        <v>22</v>
      </c>
      <c r="H275" s="166">
        <f>'RETRIBUCIONES 2025'!$O$14</f>
        <v>610</v>
      </c>
      <c r="I275" s="166">
        <f t="shared" si="96"/>
        <v>7320</v>
      </c>
      <c r="J275" s="285">
        <v>688.54</v>
      </c>
      <c r="K275" s="285">
        <f t="shared" si="97"/>
        <v>8262.48</v>
      </c>
      <c r="L275" s="441">
        <f t="shared" si="98"/>
        <v>2654.14</v>
      </c>
      <c r="M275" s="408">
        <f t="shared" si="99"/>
        <v>31849.679999999997</v>
      </c>
      <c r="N275" s="285">
        <f>'RETRIBUCIONES 2025'!$C$9</f>
        <v>836.78</v>
      </c>
      <c r="O275" s="166">
        <f>'RETRIBUCIONES 2025'!$C$10*5</f>
        <v>151.85</v>
      </c>
      <c r="P275" s="285">
        <f t="shared" ref="P275:P283" si="107">SUM(N275:O275)</f>
        <v>988.63</v>
      </c>
      <c r="Q275" s="285">
        <f t="shared" si="100"/>
        <v>610</v>
      </c>
      <c r="R275" s="285">
        <f t="shared" si="101"/>
        <v>688.54</v>
      </c>
      <c r="S275" s="285">
        <f t="shared" si="102"/>
        <v>2287.17</v>
      </c>
      <c r="T275" s="409">
        <f t="shared" si="103"/>
        <v>36424.019999999997</v>
      </c>
      <c r="U275" s="410">
        <f t="shared" si="104"/>
        <v>12019.926599999999</v>
      </c>
      <c r="V275" s="426">
        <f t="shared" si="105"/>
        <v>48443.946599999996</v>
      </c>
    </row>
    <row r="276" spans="1:22" s="1" customFormat="1" ht="16.5" x14ac:dyDescent="0.25">
      <c r="A276" s="461"/>
      <c r="B276" s="251"/>
      <c r="C276" s="166"/>
      <c r="D276" s="166"/>
      <c r="E276" s="166"/>
      <c r="F276" s="177"/>
      <c r="G276" s="253"/>
      <c r="H276" s="166"/>
      <c r="I276" s="166"/>
      <c r="J276" s="285"/>
      <c r="K276" s="285"/>
      <c r="L276" s="441"/>
      <c r="M276" s="408"/>
      <c r="N276" s="285"/>
      <c r="O276" s="166"/>
      <c r="P276" s="285"/>
      <c r="Q276" s="285"/>
      <c r="R276" s="285"/>
      <c r="S276" s="285"/>
      <c r="T276" s="409"/>
      <c r="U276" s="410"/>
      <c r="V276" s="426"/>
    </row>
    <row r="277" spans="1:22" s="1" customFormat="1" ht="16.5" x14ac:dyDescent="0.25">
      <c r="A277" s="460" t="s">
        <v>248</v>
      </c>
      <c r="B277" s="251" t="s">
        <v>13</v>
      </c>
      <c r="C277" s="166">
        <f>'RETRIBUCIONES 2025'!$C$4</f>
        <v>1147.3499999999999</v>
      </c>
      <c r="D277" s="166">
        <f t="shared" si="94"/>
        <v>13768.199999999999</v>
      </c>
      <c r="E277" s="166">
        <v>0</v>
      </c>
      <c r="F277" s="177">
        <f t="shared" si="95"/>
        <v>0</v>
      </c>
      <c r="G277" s="253">
        <v>22</v>
      </c>
      <c r="H277" s="166">
        <f>'RETRIBUCIONES 2025'!$O$14</f>
        <v>610</v>
      </c>
      <c r="I277" s="166">
        <f t="shared" si="96"/>
        <v>7320</v>
      </c>
      <c r="J277" s="285">
        <v>688.54</v>
      </c>
      <c r="K277" s="285">
        <f t="shared" si="97"/>
        <v>8262.48</v>
      </c>
      <c r="L277" s="441">
        <f t="shared" si="98"/>
        <v>2445.89</v>
      </c>
      <c r="M277" s="408">
        <f t="shared" si="99"/>
        <v>29350.679999999997</v>
      </c>
      <c r="N277" s="285">
        <f>'RETRIBUCIONES 2025'!$C$9</f>
        <v>836.78</v>
      </c>
      <c r="O277" s="285">
        <v>0</v>
      </c>
      <c r="P277" s="285">
        <f t="shared" si="107"/>
        <v>836.78</v>
      </c>
      <c r="Q277" s="285">
        <f t="shared" si="100"/>
        <v>610</v>
      </c>
      <c r="R277" s="285">
        <f t="shared" si="101"/>
        <v>688.54</v>
      </c>
      <c r="S277" s="285">
        <f t="shared" si="102"/>
        <v>2135.3199999999997</v>
      </c>
      <c r="T277" s="409">
        <f t="shared" si="103"/>
        <v>33621.319999999992</v>
      </c>
      <c r="U277" s="410">
        <f t="shared" si="104"/>
        <v>11095.035599999997</v>
      </c>
      <c r="V277" s="426">
        <f t="shared" si="105"/>
        <v>44716.355599999988</v>
      </c>
    </row>
    <row r="278" spans="1:22" s="1" customFormat="1" ht="16.5" x14ac:dyDescent="0.25">
      <c r="A278" s="461"/>
      <c r="B278" s="251"/>
      <c r="C278" s="166"/>
      <c r="D278" s="166"/>
      <c r="E278" s="166"/>
      <c r="F278" s="177"/>
      <c r="G278" s="253"/>
      <c r="H278" s="166"/>
      <c r="I278" s="166"/>
      <c r="J278" s="285"/>
      <c r="K278" s="285"/>
      <c r="L278" s="441"/>
      <c r="M278" s="408"/>
      <c r="N278" s="285"/>
      <c r="O278" s="285"/>
      <c r="P278" s="285"/>
      <c r="Q278" s="285"/>
      <c r="R278" s="285"/>
      <c r="S278" s="285"/>
      <c r="T278" s="409"/>
      <c r="U278" s="410"/>
      <c r="V278" s="426"/>
    </row>
    <row r="279" spans="1:22" s="1" customFormat="1" ht="16.5" x14ac:dyDescent="0.25">
      <c r="A279" s="460" t="s">
        <v>248</v>
      </c>
      <c r="B279" s="251" t="s">
        <v>13</v>
      </c>
      <c r="C279" s="166">
        <f>'RETRIBUCIONES 2025'!$C$4</f>
        <v>1147.3499999999999</v>
      </c>
      <c r="D279" s="166">
        <f t="shared" si="94"/>
        <v>13768.199999999999</v>
      </c>
      <c r="E279" s="166">
        <v>0</v>
      </c>
      <c r="F279" s="177">
        <f t="shared" si="95"/>
        <v>0</v>
      </c>
      <c r="G279" s="253">
        <v>22</v>
      </c>
      <c r="H279" s="166">
        <f>'RETRIBUCIONES 2025'!$O$14</f>
        <v>610</v>
      </c>
      <c r="I279" s="166">
        <f t="shared" si="96"/>
        <v>7320</v>
      </c>
      <c r="J279" s="285">
        <v>688.54</v>
      </c>
      <c r="K279" s="285">
        <f t="shared" si="97"/>
        <v>8262.48</v>
      </c>
      <c r="L279" s="441">
        <f t="shared" si="98"/>
        <v>2445.89</v>
      </c>
      <c r="M279" s="408">
        <f t="shared" si="99"/>
        <v>29350.679999999997</v>
      </c>
      <c r="N279" s="285">
        <f>'RETRIBUCIONES 2025'!$C$9</f>
        <v>836.78</v>
      </c>
      <c r="O279" s="285">
        <v>0</v>
      </c>
      <c r="P279" s="285">
        <f t="shared" si="107"/>
        <v>836.78</v>
      </c>
      <c r="Q279" s="285">
        <f t="shared" si="100"/>
        <v>610</v>
      </c>
      <c r="R279" s="285">
        <f t="shared" si="101"/>
        <v>688.54</v>
      </c>
      <c r="S279" s="285">
        <f t="shared" si="102"/>
        <v>2135.3199999999997</v>
      </c>
      <c r="T279" s="409">
        <f t="shared" si="103"/>
        <v>33621.319999999992</v>
      </c>
      <c r="U279" s="410">
        <f t="shared" si="104"/>
        <v>11095.035599999997</v>
      </c>
      <c r="V279" s="426">
        <f t="shared" si="105"/>
        <v>44716.355599999988</v>
      </c>
    </row>
    <row r="280" spans="1:22" s="1" customFormat="1" ht="16.5" x14ac:dyDescent="0.25">
      <c r="A280" s="461"/>
      <c r="B280" s="251"/>
      <c r="C280" s="166"/>
      <c r="D280" s="166"/>
      <c r="E280" s="188"/>
      <c r="F280" s="177"/>
      <c r="G280" s="253"/>
      <c r="H280" s="166"/>
      <c r="I280" s="166"/>
      <c r="J280" s="285"/>
      <c r="K280" s="285"/>
      <c r="L280" s="441"/>
      <c r="M280" s="408"/>
      <c r="N280" s="285"/>
      <c r="O280" s="285"/>
      <c r="P280" s="285"/>
      <c r="Q280" s="285"/>
      <c r="R280" s="285"/>
      <c r="S280" s="285"/>
      <c r="T280" s="409"/>
      <c r="U280" s="410"/>
      <c r="V280" s="426"/>
    </row>
    <row r="281" spans="1:22" s="1" customFormat="1" ht="16.5" x14ac:dyDescent="0.25">
      <c r="A281" s="460" t="s">
        <v>248</v>
      </c>
      <c r="B281" s="251" t="s">
        <v>13</v>
      </c>
      <c r="C281" s="166">
        <f>'RETRIBUCIONES 2025'!$C$4</f>
        <v>1147.3499999999999</v>
      </c>
      <c r="D281" s="166">
        <f t="shared" si="94"/>
        <v>13768.199999999999</v>
      </c>
      <c r="E281" s="166">
        <v>0</v>
      </c>
      <c r="F281" s="177">
        <f t="shared" si="95"/>
        <v>0</v>
      </c>
      <c r="G281" s="253">
        <v>22</v>
      </c>
      <c r="H281" s="166">
        <f>'RETRIBUCIONES 2025'!$O$14</f>
        <v>610</v>
      </c>
      <c r="I281" s="166">
        <f t="shared" si="96"/>
        <v>7320</v>
      </c>
      <c r="J281" s="285">
        <v>688.54</v>
      </c>
      <c r="K281" s="285">
        <f t="shared" si="97"/>
        <v>8262.48</v>
      </c>
      <c r="L281" s="441">
        <f t="shared" si="98"/>
        <v>2445.89</v>
      </c>
      <c r="M281" s="408">
        <f t="shared" si="99"/>
        <v>29350.679999999997</v>
      </c>
      <c r="N281" s="285">
        <f>'RETRIBUCIONES 2025'!$C$9</f>
        <v>836.78</v>
      </c>
      <c r="O281" s="285">
        <v>0</v>
      </c>
      <c r="P281" s="285">
        <f t="shared" si="107"/>
        <v>836.78</v>
      </c>
      <c r="Q281" s="285">
        <f t="shared" si="100"/>
        <v>610</v>
      </c>
      <c r="R281" s="285">
        <f t="shared" si="101"/>
        <v>688.54</v>
      </c>
      <c r="S281" s="285">
        <f t="shared" si="102"/>
        <v>2135.3199999999997</v>
      </c>
      <c r="T281" s="409">
        <f t="shared" si="103"/>
        <v>33621.319999999992</v>
      </c>
      <c r="U281" s="410">
        <f t="shared" si="104"/>
        <v>11095.035599999997</v>
      </c>
      <c r="V281" s="426">
        <f t="shared" si="105"/>
        <v>44716.355599999988</v>
      </c>
    </row>
    <row r="282" spans="1:22" s="1" customFormat="1" ht="16.5" x14ac:dyDescent="0.25">
      <c r="A282" s="461"/>
      <c r="B282" s="251"/>
      <c r="C282" s="166"/>
      <c r="D282" s="166"/>
      <c r="E282" s="166"/>
      <c r="F282" s="177"/>
      <c r="G282" s="253"/>
      <c r="H282" s="166"/>
      <c r="I282" s="166"/>
      <c r="J282" s="285"/>
      <c r="K282" s="285"/>
      <c r="L282" s="441"/>
      <c r="M282" s="408"/>
      <c r="N282" s="285"/>
      <c r="O282" s="285"/>
      <c r="P282" s="285"/>
      <c r="Q282" s="285"/>
      <c r="R282" s="285"/>
      <c r="S282" s="285"/>
      <c r="T282" s="409"/>
      <c r="U282" s="410"/>
      <c r="V282" s="426"/>
    </row>
    <row r="283" spans="1:22" s="1" customFormat="1" ht="16.5" x14ac:dyDescent="0.25">
      <c r="A283" s="460" t="s">
        <v>249</v>
      </c>
      <c r="B283" s="251" t="s">
        <v>13</v>
      </c>
      <c r="C283" s="166">
        <f>'RETRIBUCIONES 2025'!$C$4*0.5</f>
        <v>573.67499999999995</v>
      </c>
      <c r="D283" s="166">
        <f t="shared" si="94"/>
        <v>6884.0999999999995</v>
      </c>
      <c r="E283" s="188">
        <v>0</v>
      </c>
      <c r="F283" s="177">
        <f t="shared" si="95"/>
        <v>0</v>
      </c>
      <c r="G283" s="253">
        <v>22</v>
      </c>
      <c r="H283" s="166">
        <f>'RETRIBUCIONES 2025'!$O$14*0.5</f>
        <v>305</v>
      </c>
      <c r="I283" s="166">
        <f t="shared" si="96"/>
        <v>3660</v>
      </c>
      <c r="J283" s="285">
        <f>688.54*0.5</f>
        <v>344.27</v>
      </c>
      <c r="K283" s="285">
        <f t="shared" si="97"/>
        <v>4131.24</v>
      </c>
      <c r="L283" s="441">
        <f t="shared" si="98"/>
        <v>1222.9449999999999</v>
      </c>
      <c r="M283" s="408">
        <f t="shared" si="99"/>
        <v>14675.339999999998</v>
      </c>
      <c r="N283" s="285">
        <f>'RETRIBUCIONES 2025'!$C$9*0.5</f>
        <v>418.39</v>
      </c>
      <c r="O283" s="285">
        <v>0</v>
      </c>
      <c r="P283" s="285">
        <f t="shared" si="107"/>
        <v>418.39</v>
      </c>
      <c r="Q283" s="285">
        <f t="shared" si="100"/>
        <v>305</v>
      </c>
      <c r="R283" s="285">
        <f t="shared" si="101"/>
        <v>344.27</v>
      </c>
      <c r="S283" s="285">
        <f t="shared" si="102"/>
        <v>1067.6599999999999</v>
      </c>
      <c r="T283" s="409">
        <f t="shared" si="103"/>
        <v>16810.659999999996</v>
      </c>
      <c r="U283" s="410">
        <f t="shared" si="104"/>
        <v>5547.5177999999987</v>
      </c>
      <c r="V283" s="426">
        <f t="shared" si="105"/>
        <v>22358.177799999994</v>
      </c>
    </row>
    <row r="284" spans="1:22" s="1" customFormat="1" ht="16.5" x14ac:dyDescent="0.25">
      <c r="A284" s="461"/>
      <c r="B284" s="251"/>
      <c r="C284" s="166"/>
      <c r="D284" s="166"/>
      <c r="E284" s="188"/>
      <c r="F284" s="177"/>
      <c r="G284" s="253"/>
      <c r="H284" s="166"/>
      <c r="I284" s="166"/>
      <c r="J284" s="285"/>
      <c r="K284" s="285"/>
      <c r="L284" s="441"/>
      <c r="M284" s="408"/>
      <c r="N284" s="285"/>
      <c r="O284" s="285"/>
      <c r="P284" s="285"/>
      <c r="Q284" s="285"/>
      <c r="R284" s="285"/>
      <c r="S284" s="285"/>
      <c r="T284" s="409"/>
      <c r="U284" s="410"/>
      <c r="V284" s="426"/>
    </row>
    <row r="285" spans="1:22" s="1" customFormat="1" ht="16.5" x14ac:dyDescent="0.25">
      <c r="A285" s="460" t="s">
        <v>248</v>
      </c>
      <c r="B285" s="251" t="s">
        <v>13</v>
      </c>
      <c r="C285" s="166">
        <f>'RETRIBUCIONES 2025'!$C$4</f>
        <v>1147.3499999999999</v>
      </c>
      <c r="D285" s="166">
        <f>C285*12</f>
        <v>13768.199999999999</v>
      </c>
      <c r="E285" s="166">
        <f>'RETRIBUCIONES 2025'!C5*12</f>
        <v>499.79999999999995</v>
      </c>
      <c r="F285" s="177">
        <f>E285*12</f>
        <v>5997.5999999999995</v>
      </c>
      <c r="G285" s="165">
        <v>22</v>
      </c>
      <c r="H285" s="166">
        <f>'RETRIBUCIONES 2025'!O14</f>
        <v>610</v>
      </c>
      <c r="I285" s="166">
        <f>H285*12</f>
        <v>7320</v>
      </c>
      <c r="J285" s="166">
        <v>1181.95</v>
      </c>
      <c r="K285" s="166">
        <f>J285*12</f>
        <v>14183.400000000001</v>
      </c>
      <c r="L285" s="201">
        <f>C285+E285+H285+J285</f>
        <v>3439.0999999999995</v>
      </c>
      <c r="M285" s="408">
        <f>D285+F285+I285+K285</f>
        <v>41269.199999999997</v>
      </c>
      <c r="N285" s="285">
        <f>'RETRIBUCIONES 2025'!$C$9</f>
        <v>836.78</v>
      </c>
      <c r="O285" s="285">
        <f>12*'RETRIBUCIONES 2025'!C186</f>
        <v>0</v>
      </c>
      <c r="P285" s="285">
        <f>SUM(N285:O285)</f>
        <v>836.78</v>
      </c>
      <c r="Q285" s="285">
        <f>'RETRIBUCIONES 2025'!O190</f>
        <v>0</v>
      </c>
      <c r="R285" s="285">
        <f>J285</f>
        <v>1181.95</v>
      </c>
      <c r="S285" s="285">
        <f>SUM(P285:R285)</f>
        <v>2018.73</v>
      </c>
      <c r="T285" s="219">
        <f>M285+S285*2</f>
        <v>45306.659999999996</v>
      </c>
      <c r="U285" s="285">
        <f>T285*0.33</f>
        <v>14951.1978</v>
      </c>
      <c r="V285" s="442">
        <f>SUM(T285:U285)</f>
        <v>60257.857799999998</v>
      </c>
    </row>
    <row r="286" spans="1:22" s="1" customFormat="1" ht="16.5" x14ac:dyDescent="0.25">
      <c r="A286" s="461"/>
      <c r="B286" s="251"/>
      <c r="C286" s="166"/>
      <c r="D286" s="166"/>
      <c r="E286" s="188"/>
      <c r="F286" s="177"/>
      <c r="G286" s="253"/>
      <c r="H286" s="166"/>
      <c r="I286" s="166"/>
      <c r="J286" s="285"/>
      <c r="K286" s="285"/>
      <c r="L286" s="441"/>
      <c r="M286" s="408"/>
      <c r="N286" s="285"/>
      <c r="O286" s="285"/>
      <c r="P286" s="285"/>
      <c r="Q286" s="285"/>
      <c r="R286" s="285"/>
      <c r="S286" s="285"/>
      <c r="T286" s="409"/>
      <c r="U286" s="410"/>
      <c r="V286" s="426"/>
    </row>
    <row r="287" spans="1:22" s="1" customFormat="1" ht="16.5" x14ac:dyDescent="0.25">
      <c r="A287" s="467" t="s">
        <v>92</v>
      </c>
      <c r="B287" s="255"/>
      <c r="C287" s="183">
        <f>SUM(C273:C285)</f>
        <v>7457.7749999999996</v>
      </c>
      <c r="D287" s="183">
        <f t="shared" ref="D287:V287" si="108">SUM(D273:D285)</f>
        <v>89493.3</v>
      </c>
      <c r="E287" s="183">
        <f t="shared" si="108"/>
        <v>708.05</v>
      </c>
      <c r="F287" s="232">
        <f t="shared" si="108"/>
        <v>8496.5999999999985</v>
      </c>
      <c r="G287" s="183">
        <f t="shared" si="108"/>
        <v>154</v>
      </c>
      <c r="H287" s="183">
        <f t="shared" si="108"/>
        <v>3965</v>
      </c>
      <c r="I287" s="183">
        <f t="shared" si="108"/>
        <v>47580</v>
      </c>
      <c r="J287" s="183">
        <f t="shared" si="108"/>
        <v>4968.92</v>
      </c>
      <c r="K287" s="183">
        <f t="shared" si="108"/>
        <v>59627.039999999994</v>
      </c>
      <c r="L287" s="187">
        <f t="shared" si="108"/>
        <v>17099.744999999999</v>
      </c>
      <c r="M287" s="232">
        <f t="shared" si="108"/>
        <v>205196.94</v>
      </c>
      <c r="N287" s="183">
        <f t="shared" si="108"/>
        <v>5439.07</v>
      </c>
      <c r="O287" s="183">
        <f t="shared" si="108"/>
        <v>151.85</v>
      </c>
      <c r="P287" s="183">
        <f t="shared" si="108"/>
        <v>5590.9199999999992</v>
      </c>
      <c r="Q287" s="183">
        <f t="shared" si="108"/>
        <v>3355</v>
      </c>
      <c r="R287" s="183">
        <f t="shared" si="108"/>
        <v>4968.92</v>
      </c>
      <c r="S287" s="183">
        <f t="shared" si="108"/>
        <v>13914.839999999998</v>
      </c>
      <c r="T287" s="187">
        <f t="shared" si="108"/>
        <v>233026.62</v>
      </c>
      <c r="U287" s="183">
        <f t="shared" si="108"/>
        <v>76898.784599999984</v>
      </c>
      <c r="V287" s="232">
        <f t="shared" si="108"/>
        <v>309925.40459999989</v>
      </c>
    </row>
    <row r="288" spans="1:22" s="1" customFormat="1" ht="16.5" x14ac:dyDescent="0.25">
      <c r="A288" s="461"/>
      <c r="B288" s="251"/>
      <c r="C288" s="166"/>
      <c r="D288" s="166"/>
      <c r="E288" s="166"/>
      <c r="F288" s="177"/>
      <c r="G288" s="166"/>
      <c r="H288" s="166"/>
      <c r="I288" s="166"/>
      <c r="J288" s="285"/>
      <c r="K288" s="285"/>
      <c r="L288" s="441"/>
      <c r="M288" s="408"/>
      <c r="N288" s="285"/>
      <c r="O288" s="285"/>
      <c r="P288" s="285"/>
      <c r="Q288" s="285"/>
      <c r="R288" s="285"/>
      <c r="S288" s="285"/>
      <c r="T288" s="409"/>
      <c r="U288" s="410"/>
      <c r="V288" s="426"/>
    </row>
    <row r="289" spans="1:22" s="1" customFormat="1" ht="16.5" x14ac:dyDescent="0.25">
      <c r="A289" s="466"/>
      <c r="B289" s="251"/>
      <c r="C289" s="166"/>
      <c r="D289" s="166"/>
      <c r="E289" s="166"/>
      <c r="F289" s="177"/>
      <c r="G289" s="253"/>
      <c r="H289" s="166"/>
      <c r="I289" s="166"/>
      <c r="J289" s="285"/>
      <c r="K289" s="285"/>
      <c r="L289" s="441"/>
      <c r="M289" s="408"/>
      <c r="N289" s="285"/>
      <c r="O289" s="285"/>
      <c r="P289" s="285"/>
      <c r="Q289" s="285"/>
      <c r="R289" s="285"/>
      <c r="S289" s="285"/>
      <c r="T289" s="409"/>
      <c r="U289" s="410"/>
      <c r="V289" s="426"/>
    </row>
    <row r="290" spans="1:22" s="1" customFormat="1" ht="16.5" x14ac:dyDescent="0.25">
      <c r="A290" s="460" t="s">
        <v>237</v>
      </c>
      <c r="B290" s="251" t="s">
        <v>15</v>
      </c>
      <c r="C290" s="166">
        <f>'RETRIBUCIONES 2025'!$E$4</f>
        <v>861.46</v>
      </c>
      <c r="D290" s="166">
        <f t="shared" si="94"/>
        <v>10337.52</v>
      </c>
      <c r="E290" s="166">
        <f>'RETRIBUCIONES 2025'!$E$5*1</f>
        <v>31.53</v>
      </c>
      <c r="F290" s="177">
        <f t="shared" si="95"/>
        <v>378.36</v>
      </c>
      <c r="G290" s="253">
        <v>16</v>
      </c>
      <c r="H290" s="166">
        <f>'RETRIBUCIONES 2025'!$I$14</f>
        <v>418.69</v>
      </c>
      <c r="I290" s="166">
        <f t="shared" si="96"/>
        <v>5024.28</v>
      </c>
      <c r="J290" s="285">
        <v>475.95</v>
      </c>
      <c r="K290" s="285">
        <f t="shared" si="97"/>
        <v>5711.4</v>
      </c>
      <c r="L290" s="441">
        <f t="shared" si="98"/>
        <v>1787.63</v>
      </c>
      <c r="M290" s="408">
        <f t="shared" si="99"/>
        <v>21451.559999999998</v>
      </c>
      <c r="N290" s="285">
        <f>'RETRIBUCIONES 2025'!$E$9</f>
        <v>744.56</v>
      </c>
      <c r="O290" s="285">
        <f>'RETRIBUCIONES 2025'!$E$10*1</f>
        <v>27.21</v>
      </c>
      <c r="P290" s="285">
        <f>SUM(N290:O290)</f>
        <v>771.77</v>
      </c>
      <c r="Q290" s="285">
        <f t="shared" si="100"/>
        <v>418.69</v>
      </c>
      <c r="R290" s="285">
        <f t="shared" si="101"/>
        <v>475.95</v>
      </c>
      <c r="S290" s="285">
        <f t="shared" si="102"/>
        <v>1666.41</v>
      </c>
      <c r="T290" s="409">
        <f t="shared" si="103"/>
        <v>24784.379999999997</v>
      </c>
      <c r="U290" s="410">
        <f t="shared" si="104"/>
        <v>8178.8453999999992</v>
      </c>
      <c r="V290" s="426">
        <f t="shared" si="105"/>
        <v>32963.225399999996</v>
      </c>
    </row>
    <row r="291" spans="1:22" s="1" customFormat="1" ht="16.5" x14ac:dyDescent="0.25">
      <c r="A291" s="461"/>
      <c r="B291" s="251"/>
      <c r="C291" s="166"/>
      <c r="D291" s="166"/>
      <c r="E291" s="166"/>
      <c r="F291" s="177"/>
      <c r="G291" s="253"/>
      <c r="H291" s="166"/>
      <c r="I291" s="166"/>
      <c r="J291" s="285"/>
      <c r="K291" s="285"/>
      <c r="L291" s="441"/>
      <c r="M291" s="408"/>
      <c r="N291" s="285"/>
      <c r="O291" s="285"/>
      <c r="P291" s="285"/>
      <c r="Q291" s="285"/>
      <c r="R291" s="285"/>
      <c r="S291" s="285"/>
      <c r="T291" s="409"/>
      <c r="U291" s="410"/>
      <c r="V291" s="426"/>
    </row>
    <row r="292" spans="1:22" s="1" customFormat="1" ht="16.5" x14ac:dyDescent="0.25">
      <c r="A292" s="460" t="s">
        <v>237</v>
      </c>
      <c r="B292" s="251" t="s">
        <v>15</v>
      </c>
      <c r="C292" s="166">
        <f>'RETRIBUCIONES 2025'!$E$4</f>
        <v>861.46</v>
      </c>
      <c r="D292" s="166">
        <f t="shared" si="94"/>
        <v>10337.52</v>
      </c>
      <c r="E292" s="166">
        <v>0</v>
      </c>
      <c r="F292" s="177">
        <f t="shared" si="95"/>
        <v>0</v>
      </c>
      <c r="G292" s="253">
        <v>16</v>
      </c>
      <c r="H292" s="166">
        <f>'RETRIBUCIONES 2025'!$I$14</f>
        <v>418.69</v>
      </c>
      <c r="I292" s="166">
        <f t="shared" si="96"/>
        <v>5024.28</v>
      </c>
      <c r="J292" s="285">
        <v>475.95</v>
      </c>
      <c r="K292" s="285">
        <f t="shared" si="97"/>
        <v>5711.4</v>
      </c>
      <c r="L292" s="441">
        <f t="shared" si="98"/>
        <v>1756.1000000000001</v>
      </c>
      <c r="M292" s="408">
        <f t="shared" si="99"/>
        <v>21073.199999999997</v>
      </c>
      <c r="N292" s="285">
        <f>'RETRIBUCIONES 2025'!$E$9</f>
        <v>744.56</v>
      </c>
      <c r="O292" s="285">
        <v>0</v>
      </c>
      <c r="P292" s="285">
        <f>SUM(N292:O292)</f>
        <v>744.56</v>
      </c>
      <c r="Q292" s="285">
        <f t="shared" si="100"/>
        <v>418.69</v>
      </c>
      <c r="R292" s="285">
        <f t="shared" si="101"/>
        <v>475.95</v>
      </c>
      <c r="S292" s="285">
        <f t="shared" si="102"/>
        <v>1639.2</v>
      </c>
      <c r="T292" s="409">
        <f t="shared" si="103"/>
        <v>24351.599999999999</v>
      </c>
      <c r="U292" s="410">
        <f t="shared" si="104"/>
        <v>8036.0280000000002</v>
      </c>
      <c r="V292" s="426">
        <f t="shared" si="105"/>
        <v>32387.627999999997</v>
      </c>
    </row>
    <row r="293" spans="1:22" s="1" customFormat="1" ht="16.5" x14ac:dyDescent="0.25">
      <c r="A293" s="461"/>
      <c r="B293" s="251"/>
      <c r="C293" s="166"/>
      <c r="D293" s="166"/>
      <c r="E293" s="166"/>
      <c r="F293" s="177"/>
      <c r="G293" s="253"/>
      <c r="H293" s="166"/>
      <c r="I293" s="166"/>
      <c r="J293" s="285"/>
      <c r="K293" s="285"/>
      <c r="L293" s="441"/>
      <c r="M293" s="408"/>
      <c r="N293" s="285"/>
      <c r="O293" s="285"/>
      <c r="P293" s="285"/>
      <c r="Q293" s="285"/>
      <c r="R293" s="285"/>
      <c r="S293" s="285"/>
      <c r="T293" s="409"/>
      <c r="U293" s="410"/>
      <c r="V293" s="426"/>
    </row>
    <row r="294" spans="1:22" s="1" customFormat="1" ht="16.5" x14ac:dyDescent="0.25">
      <c r="A294" s="467" t="s">
        <v>93</v>
      </c>
      <c r="B294" s="255"/>
      <c r="C294" s="183">
        <f>SUM(C290:C292)</f>
        <v>1722.92</v>
      </c>
      <c r="D294" s="183">
        <f t="shared" ref="D294:V294" si="109">SUM(D290:D292)</f>
        <v>20675.04</v>
      </c>
      <c r="E294" s="183">
        <f t="shared" si="109"/>
        <v>31.53</v>
      </c>
      <c r="F294" s="232">
        <f t="shared" si="109"/>
        <v>378.36</v>
      </c>
      <c r="G294" s="183"/>
      <c r="H294" s="183">
        <f t="shared" si="109"/>
        <v>837.38</v>
      </c>
      <c r="I294" s="183">
        <f t="shared" si="109"/>
        <v>10048.56</v>
      </c>
      <c r="J294" s="183">
        <f t="shared" si="109"/>
        <v>951.9</v>
      </c>
      <c r="K294" s="183">
        <f t="shared" si="109"/>
        <v>11422.8</v>
      </c>
      <c r="L294" s="187">
        <f t="shared" si="109"/>
        <v>3543.7300000000005</v>
      </c>
      <c r="M294" s="232">
        <f t="shared" si="109"/>
        <v>42524.759999999995</v>
      </c>
      <c r="N294" s="183">
        <f t="shared" si="109"/>
        <v>1489.12</v>
      </c>
      <c r="O294" s="183">
        <f t="shared" si="109"/>
        <v>27.21</v>
      </c>
      <c r="P294" s="183">
        <f t="shared" si="109"/>
        <v>1516.33</v>
      </c>
      <c r="Q294" s="183">
        <f t="shared" si="109"/>
        <v>837.38</v>
      </c>
      <c r="R294" s="183">
        <f t="shared" si="109"/>
        <v>951.9</v>
      </c>
      <c r="S294" s="183">
        <f t="shared" si="109"/>
        <v>3305.61</v>
      </c>
      <c r="T294" s="187">
        <f t="shared" si="109"/>
        <v>49135.979999999996</v>
      </c>
      <c r="U294" s="183">
        <f t="shared" si="109"/>
        <v>16214.8734</v>
      </c>
      <c r="V294" s="232">
        <f t="shared" si="109"/>
        <v>65350.853399999993</v>
      </c>
    </row>
    <row r="295" spans="1:22" s="1" customFormat="1" ht="16.5" x14ac:dyDescent="0.25">
      <c r="A295" s="466"/>
      <c r="B295" s="256"/>
      <c r="C295" s="188"/>
      <c r="D295" s="188"/>
      <c r="E295" s="188"/>
      <c r="F295" s="235"/>
      <c r="G295" s="210"/>
      <c r="H295" s="188"/>
      <c r="I295" s="188"/>
      <c r="J295" s="188"/>
      <c r="K295" s="294"/>
      <c r="L295" s="389"/>
      <c r="M295" s="390"/>
      <c r="N295" s="294"/>
      <c r="O295" s="294"/>
      <c r="P295" s="294"/>
      <c r="Q295" s="294"/>
      <c r="R295" s="294"/>
      <c r="S295" s="294"/>
      <c r="T295" s="409"/>
      <c r="U295" s="410"/>
      <c r="V295" s="426"/>
    </row>
    <row r="296" spans="1:22" s="1" customFormat="1" ht="16.5" x14ac:dyDescent="0.25">
      <c r="A296" s="462" t="s">
        <v>95</v>
      </c>
      <c r="B296" s="257"/>
      <c r="C296" s="190">
        <f>+C271+C287+C294</f>
        <v>11171.045</v>
      </c>
      <c r="D296" s="190">
        <f>+D271+D287+D294</f>
        <v>134052.54</v>
      </c>
      <c r="E296" s="190">
        <f>+E271+E287+E294</f>
        <v>943.8599999999999</v>
      </c>
      <c r="F296" s="221">
        <f>+F271+F287+F294</f>
        <v>11326.32</v>
      </c>
      <c r="G296" s="190"/>
      <c r="H296" s="190">
        <f t="shared" ref="H296:V296" si="110">+H271+H287+H294</f>
        <v>5848.5250000000005</v>
      </c>
      <c r="I296" s="190">
        <f t="shared" si="110"/>
        <v>70182.3</v>
      </c>
      <c r="J296" s="190">
        <f t="shared" si="110"/>
        <v>6953.6299999999992</v>
      </c>
      <c r="K296" s="190">
        <f t="shared" si="110"/>
        <v>83443.56</v>
      </c>
      <c r="L296" s="222">
        <f t="shared" si="110"/>
        <v>24917.059999999998</v>
      </c>
      <c r="M296" s="221">
        <f t="shared" si="110"/>
        <v>299004.71999999997</v>
      </c>
      <c r="N296" s="190">
        <f t="shared" si="110"/>
        <v>8156.4199999999992</v>
      </c>
      <c r="O296" s="190">
        <f t="shared" si="110"/>
        <v>305.18</v>
      </c>
      <c r="P296" s="190">
        <f t="shared" si="110"/>
        <v>8461.5999999999985</v>
      </c>
      <c r="Q296" s="190">
        <f t="shared" si="110"/>
        <v>5238.5250000000005</v>
      </c>
      <c r="R296" s="190">
        <f t="shared" si="110"/>
        <v>6953.6299999999992</v>
      </c>
      <c r="S296" s="190">
        <f t="shared" si="110"/>
        <v>20653.754999999997</v>
      </c>
      <c r="T296" s="222">
        <f t="shared" si="110"/>
        <v>340312.23</v>
      </c>
      <c r="U296" s="190">
        <f t="shared" si="110"/>
        <v>112303.03589999997</v>
      </c>
      <c r="V296" s="221">
        <f t="shared" si="110"/>
        <v>452615.26589999988</v>
      </c>
    </row>
    <row r="297" spans="1:22" s="1" customFormat="1" ht="17.25" thickBot="1" x14ac:dyDescent="0.3">
      <c r="A297" s="463"/>
      <c r="B297" s="288"/>
      <c r="C297" s="226"/>
      <c r="D297" s="226"/>
      <c r="E297" s="226"/>
      <c r="F297" s="227"/>
      <c r="G297" s="258"/>
      <c r="H297" s="229"/>
      <c r="I297" s="226"/>
      <c r="J297" s="226"/>
      <c r="K297" s="226"/>
      <c r="L297" s="230"/>
      <c r="M297" s="427"/>
      <c r="N297" s="291"/>
      <c r="O297" s="290"/>
      <c r="P297" s="290"/>
      <c r="Q297" s="291"/>
      <c r="R297" s="291"/>
      <c r="S297" s="291"/>
      <c r="T297" s="420"/>
      <c r="U297" s="421"/>
      <c r="V297" s="422"/>
    </row>
    <row r="298" spans="1:22" s="1" customFormat="1" ht="17.25" thickBot="1" x14ac:dyDescent="0.3">
      <c r="A298" s="454"/>
      <c r="B298" s="293"/>
      <c r="C298" s="166"/>
      <c r="D298" s="166"/>
      <c r="E298" s="166"/>
      <c r="F298" s="166"/>
      <c r="G298" s="164"/>
      <c r="H298" s="165"/>
      <c r="I298" s="166"/>
      <c r="J298" s="166"/>
      <c r="K298" s="166"/>
      <c r="L298" s="166"/>
      <c r="M298" s="285"/>
      <c r="N298" s="285"/>
      <c r="O298" s="294"/>
      <c r="P298" s="294"/>
      <c r="Q298" s="285"/>
      <c r="R298" s="285"/>
      <c r="S298" s="285"/>
      <c r="T298" s="280"/>
      <c r="U298" s="410"/>
      <c r="V298" s="429"/>
    </row>
    <row r="299" spans="1:22" s="1" customFormat="1" ht="16.5" x14ac:dyDescent="0.2">
      <c r="A299" s="537" t="s">
        <v>90</v>
      </c>
      <c r="B299" s="538"/>
      <c r="C299" s="538"/>
      <c r="D299" s="538"/>
      <c r="E299" s="538"/>
      <c r="F299" s="538"/>
      <c r="G299" s="538"/>
      <c r="H299" s="538"/>
      <c r="I299" s="538"/>
      <c r="J299" s="538"/>
      <c r="K299" s="538"/>
      <c r="L299" s="538"/>
      <c r="M299" s="538"/>
      <c r="N299" s="538"/>
      <c r="O299" s="538"/>
      <c r="P299" s="538"/>
      <c r="Q299" s="538"/>
      <c r="R299" s="538"/>
      <c r="S299" s="538"/>
      <c r="T299" s="538"/>
      <c r="U299" s="538"/>
      <c r="V299" s="539"/>
    </row>
    <row r="300" spans="1:22" s="1" customFormat="1" ht="17.25" thickBot="1" x14ac:dyDescent="0.25">
      <c r="A300" s="540">
        <v>241</v>
      </c>
      <c r="B300" s="541"/>
      <c r="C300" s="541"/>
      <c r="D300" s="541"/>
      <c r="E300" s="541"/>
      <c r="F300" s="541"/>
      <c r="G300" s="541"/>
      <c r="H300" s="541"/>
      <c r="I300" s="541"/>
      <c r="J300" s="541"/>
      <c r="K300" s="541"/>
      <c r="L300" s="541"/>
      <c r="M300" s="541"/>
      <c r="N300" s="541"/>
      <c r="O300" s="541"/>
      <c r="P300" s="541"/>
      <c r="Q300" s="541"/>
      <c r="R300" s="541"/>
      <c r="S300" s="541"/>
      <c r="T300" s="541"/>
      <c r="U300" s="541"/>
      <c r="V300" s="542"/>
    </row>
    <row r="301" spans="1:22" s="1" customFormat="1" ht="16.5" x14ac:dyDescent="0.25">
      <c r="A301" s="452"/>
      <c r="B301" s="529" t="s">
        <v>123</v>
      </c>
      <c r="C301" s="530"/>
      <c r="D301" s="530"/>
      <c r="E301" s="530"/>
      <c r="F301" s="531"/>
      <c r="G301" s="549" t="s">
        <v>124</v>
      </c>
      <c r="H301" s="532"/>
      <c r="I301" s="532"/>
      <c r="J301" s="532"/>
      <c r="K301" s="550"/>
      <c r="L301" s="551" t="s">
        <v>132</v>
      </c>
      <c r="M301" s="553" t="s">
        <v>133</v>
      </c>
      <c r="N301" s="515" t="s">
        <v>2</v>
      </c>
      <c r="O301" s="515"/>
      <c r="P301" s="515"/>
      <c r="Q301" s="515"/>
      <c r="R301" s="515"/>
      <c r="S301" s="515"/>
      <c r="T301" s="302"/>
      <c r="U301" s="296"/>
      <c r="V301" s="297"/>
    </row>
    <row r="302" spans="1:22" s="1" customFormat="1" ht="33.75" thickBot="1" x14ac:dyDescent="0.25">
      <c r="A302" s="212"/>
      <c r="B302" s="268" t="s">
        <v>6</v>
      </c>
      <c r="C302" s="173" t="s">
        <v>144</v>
      </c>
      <c r="D302" s="173" t="s">
        <v>139</v>
      </c>
      <c r="E302" s="173" t="s">
        <v>145</v>
      </c>
      <c r="F302" s="174" t="s">
        <v>140</v>
      </c>
      <c r="G302" s="175" t="s">
        <v>9</v>
      </c>
      <c r="H302" s="173" t="s">
        <v>136</v>
      </c>
      <c r="I302" s="173" t="s">
        <v>135</v>
      </c>
      <c r="J302" s="173" t="s">
        <v>134</v>
      </c>
      <c r="K302" s="174" t="s">
        <v>137</v>
      </c>
      <c r="L302" s="552"/>
      <c r="M302" s="554"/>
      <c r="N302" s="173" t="s">
        <v>10</v>
      </c>
      <c r="O302" s="173" t="s">
        <v>11</v>
      </c>
      <c r="P302" s="173" t="s">
        <v>120</v>
      </c>
      <c r="Q302" s="173" t="s">
        <v>122</v>
      </c>
      <c r="R302" s="173" t="s">
        <v>121</v>
      </c>
      <c r="S302" s="173" t="s">
        <v>116</v>
      </c>
      <c r="T302" s="303" t="s">
        <v>141</v>
      </c>
      <c r="U302" s="173" t="s">
        <v>143</v>
      </c>
      <c r="V302" s="174" t="s">
        <v>142</v>
      </c>
    </row>
    <row r="303" spans="1:22" s="1" customFormat="1" ht="16.5" x14ac:dyDescent="0.2">
      <c r="A303" s="213"/>
      <c r="B303" s="269"/>
      <c r="C303" s="214"/>
      <c r="D303" s="214"/>
      <c r="E303" s="214"/>
      <c r="F303" s="215"/>
      <c r="G303" s="216"/>
      <c r="H303" s="217"/>
      <c r="I303" s="214"/>
      <c r="J303" s="214"/>
      <c r="K303" s="215"/>
      <c r="L303" s="218"/>
      <c r="M303" s="423"/>
      <c r="N303" s="214"/>
      <c r="O303" s="284"/>
      <c r="P303" s="284"/>
      <c r="Q303" s="214"/>
      <c r="R303" s="214"/>
      <c r="S303" s="214"/>
      <c r="T303" s="269"/>
      <c r="U303" s="214"/>
      <c r="V303" s="215"/>
    </row>
    <row r="304" spans="1:22" s="1" customFormat="1" ht="16.5" x14ac:dyDescent="0.25">
      <c r="A304" s="259" t="s">
        <v>269</v>
      </c>
      <c r="B304" s="251" t="s">
        <v>12</v>
      </c>
      <c r="C304" s="166">
        <f>'RETRIBUCIONES 2025'!B4</f>
        <v>1326.9</v>
      </c>
      <c r="D304" s="166">
        <f>C304*12</f>
        <v>15922.800000000001</v>
      </c>
      <c r="E304" s="166">
        <f>'RETRIBUCIONES 2025'!$C$5*8</f>
        <v>333.2</v>
      </c>
      <c r="F304" s="177">
        <f>E304*12</f>
        <v>3998.3999999999996</v>
      </c>
      <c r="G304" s="220" t="s">
        <v>59</v>
      </c>
      <c r="H304" s="180">
        <f>'RETRIBUCIONES 2025'!$U$14</f>
        <v>995.93</v>
      </c>
      <c r="I304" s="180">
        <f>H304*12</f>
        <v>11951.16</v>
      </c>
      <c r="J304" s="166">
        <v>1624.82</v>
      </c>
      <c r="K304" s="260">
        <f>J304*12</f>
        <v>19497.84</v>
      </c>
      <c r="L304" s="201">
        <f>J304+H304+E304+C304</f>
        <v>4280.8500000000004</v>
      </c>
      <c r="M304" s="261">
        <f>K304+I304+F304+D304</f>
        <v>51370.200000000004</v>
      </c>
      <c r="N304" s="285">
        <f>'RETRIBUCIONES 2025'!$C$9</f>
        <v>836.78</v>
      </c>
      <c r="O304" s="166">
        <f>'RETRIBUCIONES 2025'!$C$10*8</f>
        <v>242.96</v>
      </c>
      <c r="P304" s="285">
        <f>SUM(N304:O304)</f>
        <v>1079.74</v>
      </c>
      <c r="Q304" s="285">
        <f>H304</f>
        <v>995.93</v>
      </c>
      <c r="R304" s="285">
        <f>J304</f>
        <v>1624.82</v>
      </c>
      <c r="S304" s="285">
        <f>SUM(P304:R304)</f>
        <v>3700.49</v>
      </c>
      <c r="T304" s="219">
        <f>M304+S304*2</f>
        <v>58771.180000000008</v>
      </c>
      <c r="U304" s="285">
        <f>T304*0.33</f>
        <v>19394.489400000002</v>
      </c>
      <c r="V304" s="281">
        <f>SUM(T304:U304)</f>
        <v>78165.669400000013</v>
      </c>
    </row>
    <row r="305" spans="1:22" s="1" customFormat="1" ht="16.5" x14ac:dyDescent="0.25">
      <c r="A305" s="454"/>
      <c r="B305" s="251"/>
      <c r="C305" s="166"/>
      <c r="D305" s="166"/>
      <c r="E305" s="166"/>
      <c r="F305" s="177"/>
      <c r="G305" s="220"/>
      <c r="H305" s="166"/>
      <c r="I305" s="166"/>
      <c r="J305" s="166"/>
      <c r="K305" s="281"/>
      <c r="L305" s="201"/>
      <c r="M305" s="408"/>
      <c r="N305" s="285"/>
      <c r="O305" s="166"/>
      <c r="P305" s="285"/>
      <c r="Q305" s="285"/>
      <c r="R305" s="285"/>
      <c r="S305" s="285"/>
      <c r="T305" s="219"/>
      <c r="U305" s="285"/>
      <c r="V305" s="281"/>
    </row>
    <row r="306" spans="1:22" s="1" customFormat="1" ht="16.5" x14ac:dyDescent="0.25">
      <c r="A306" s="456" t="s">
        <v>85</v>
      </c>
      <c r="B306" s="257"/>
      <c r="C306" s="190">
        <f>SUM(C304:C305)</f>
        <v>1326.9</v>
      </c>
      <c r="D306" s="190">
        <f t="shared" ref="D306:V306" si="111">SUM(D304:D305)</f>
        <v>15922.800000000001</v>
      </c>
      <c r="E306" s="190">
        <f t="shared" si="111"/>
        <v>333.2</v>
      </c>
      <c r="F306" s="221">
        <f t="shared" si="111"/>
        <v>3998.3999999999996</v>
      </c>
      <c r="G306" s="222"/>
      <c r="H306" s="190">
        <f t="shared" si="111"/>
        <v>995.93</v>
      </c>
      <c r="I306" s="190">
        <f t="shared" si="111"/>
        <v>11951.16</v>
      </c>
      <c r="J306" s="190">
        <f t="shared" si="111"/>
        <v>1624.82</v>
      </c>
      <c r="K306" s="221">
        <f t="shared" si="111"/>
        <v>19497.84</v>
      </c>
      <c r="L306" s="222">
        <f t="shared" si="111"/>
        <v>4280.8500000000004</v>
      </c>
      <c r="M306" s="221">
        <f t="shared" si="111"/>
        <v>51370.200000000004</v>
      </c>
      <c r="N306" s="190">
        <f t="shared" si="111"/>
        <v>836.78</v>
      </c>
      <c r="O306" s="190">
        <f t="shared" si="111"/>
        <v>242.96</v>
      </c>
      <c r="P306" s="190">
        <f t="shared" si="111"/>
        <v>1079.74</v>
      </c>
      <c r="Q306" s="190">
        <f t="shared" si="111"/>
        <v>995.93</v>
      </c>
      <c r="R306" s="190">
        <f t="shared" si="111"/>
        <v>1624.82</v>
      </c>
      <c r="S306" s="190">
        <f t="shared" si="111"/>
        <v>3700.49</v>
      </c>
      <c r="T306" s="222">
        <f t="shared" si="111"/>
        <v>58771.180000000008</v>
      </c>
      <c r="U306" s="190">
        <f t="shared" si="111"/>
        <v>19394.489400000002</v>
      </c>
      <c r="V306" s="221">
        <f t="shared" si="111"/>
        <v>78165.669400000013</v>
      </c>
    </row>
    <row r="307" spans="1:22" s="1" customFormat="1" ht="17.25" thickBot="1" x14ac:dyDescent="0.3">
      <c r="A307" s="459"/>
      <c r="B307" s="288"/>
      <c r="C307" s="226"/>
      <c r="D307" s="226" t="s">
        <v>207</v>
      </c>
      <c r="E307" s="226"/>
      <c r="F307" s="226" t="s">
        <v>207</v>
      </c>
      <c r="G307" s="228"/>
      <c r="H307" s="229"/>
      <c r="I307" s="226" t="s">
        <v>208</v>
      </c>
      <c r="J307" s="226"/>
      <c r="K307" s="226" t="s">
        <v>208</v>
      </c>
      <c r="L307" s="230"/>
      <c r="M307" s="427"/>
      <c r="N307" s="291"/>
      <c r="O307" s="290"/>
      <c r="P307" s="290"/>
      <c r="Q307" s="291"/>
      <c r="R307" s="291"/>
      <c r="S307" s="291"/>
      <c r="T307" s="299" t="s">
        <v>213</v>
      </c>
      <c r="U307" s="292" t="s">
        <v>209</v>
      </c>
      <c r="V307" s="289"/>
    </row>
    <row r="308" spans="1:22" s="1" customFormat="1" ht="16.5" x14ac:dyDescent="0.25">
      <c r="A308" s="454"/>
      <c r="B308" s="293"/>
      <c r="C308" s="197"/>
      <c r="D308" s="197"/>
      <c r="E308" s="197"/>
      <c r="F308" s="197"/>
      <c r="G308" s="197"/>
      <c r="H308" s="197"/>
      <c r="I308" s="197"/>
      <c r="J308" s="197"/>
      <c r="K308" s="197"/>
      <c r="L308" s="197"/>
      <c r="M308" s="197"/>
      <c r="N308" s="197"/>
      <c r="O308" s="197"/>
      <c r="P308" s="197"/>
      <c r="Q308" s="197"/>
      <c r="R308" s="197"/>
      <c r="S308" s="285"/>
      <c r="T308" s="280"/>
      <c r="U308" s="410"/>
      <c r="V308" s="429"/>
    </row>
    <row r="309" spans="1:22" s="32" customFormat="1" ht="15" customHeight="1" x14ac:dyDescent="0.25">
      <c r="A309" s="464"/>
      <c r="B309" s="443"/>
      <c r="C309" s="247"/>
      <c r="D309" s="247"/>
      <c r="E309" s="247"/>
      <c r="F309" s="262"/>
      <c r="G309" s="263"/>
      <c r="H309" s="264"/>
      <c r="I309" s="247"/>
      <c r="J309" s="247"/>
      <c r="K309" s="262"/>
      <c r="L309" s="262"/>
      <c r="M309" s="434"/>
      <c r="N309" s="434"/>
      <c r="O309" s="437"/>
      <c r="P309" s="437"/>
      <c r="Q309" s="434"/>
      <c r="R309" s="434"/>
      <c r="S309" s="434"/>
      <c r="T309" s="444"/>
      <c r="U309" s="445"/>
      <c r="V309" s="446"/>
    </row>
    <row r="310" spans="1:22" s="32" customFormat="1" ht="39.6" customHeight="1" x14ac:dyDescent="0.25">
      <c r="A310" s="481" t="s">
        <v>118</v>
      </c>
      <c r="B310" s="482"/>
      <c r="C310" s="483">
        <f>C564+C254+C243+C232+C219+C204+C174+C162+C132+C119+C44+C296+C306</f>
        <v>71742.184999999983</v>
      </c>
      <c r="D310" s="483">
        <f>D564+D254+D243+D232+D219+D204+D174+D162+D132+D119+D44+D296+D306</f>
        <v>860906.22</v>
      </c>
      <c r="E310" s="483">
        <f>E564+E254+E243+E232+E219+E204+E174+E162+E132+E119+E44+E296+E306</f>
        <v>9345.720000000003</v>
      </c>
      <c r="F310" s="483">
        <f>F564+F254+F243+F232+F219+F204+F174+F162+F132+F119+F44+F296+F306</f>
        <v>112148.64000000001</v>
      </c>
      <c r="G310" s="483"/>
      <c r="H310" s="483">
        <f t="shared" ref="H310:V310" si="112">H564+H254+H243+H232+H219+H204+H174+H162+H132+H119+H44+H296+H306</f>
        <v>42588.724999999999</v>
      </c>
      <c r="I310" s="483">
        <f t="shared" si="112"/>
        <v>511064.6999999999</v>
      </c>
      <c r="J310" s="483">
        <f t="shared" si="112"/>
        <v>47237.389999999992</v>
      </c>
      <c r="K310" s="483">
        <f t="shared" si="112"/>
        <v>566848.68000000005</v>
      </c>
      <c r="L310" s="483">
        <f t="shared" si="112"/>
        <v>170914.02</v>
      </c>
      <c r="M310" s="483">
        <f t="shared" si="112"/>
        <v>2050968.2399999998</v>
      </c>
      <c r="N310" s="483">
        <f t="shared" si="112"/>
        <v>57476.239999999991</v>
      </c>
      <c r="O310" s="483">
        <f t="shared" si="112"/>
        <v>7424.3</v>
      </c>
      <c r="P310" s="483">
        <f t="shared" si="112"/>
        <v>64930.909999999989</v>
      </c>
      <c r="Q310" s="483">
        <f t="shared" si="112"/>
        <v>41978.724999999999</v>
      </c>
      <c r="R310" s="483">
        <f t="shared" si="112"/>
        <v>47237.389999999992</v>
      </c>
      <c r="S310" s="483">
        <f t="shared" si="112"/>
        <v>152262.215</v>
      </c>
      <c r="T310" s="483">
        <f t="shared" si="112"/>
        <v>2348193.33</v>
      </c>
      <c r="U310" s="483">
        <f t="shared" si="112"/>
        <v>774903.79889999994</v>
      </c>
      <c r="V310" s="484">
        <f t="shared" si="112"/>
        <v>3123097.1288999999</v>
      </c>
    </row>
    <row r="311" spans="1:22" s="32" customFormat="1" ht="15" customHeight="1" x14ac:dyDescent="0.25">
      <c r="A311" s="453"/>
      <c r="B311" s="309"/>
      <c r="C311" s="188"/>
      <c r="D311" s="188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235"/>
    </row>
    <row r="312" spans="1:22" s="32" customFormat="1" ht="15" customHeight="1" x14ac:dyDescent="0.25">
      <c r="A312" s="453"/>
      <c r="B312" s="309"/>
      <c r="C312" s="188"/>
      <c r="D312" s="188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235"/>
    </row>
    <row r="313" spans="1:22" s="1" customFormat="1" ht="16.5" x14ac:dyDescent="0.25">
      <c r="A313" s="454"/>
      <c r="B313" s="293"/>
      <c r="C313" s="166"/>
      <c r="D313" s="166"/>
      <c r="E313" s="166"/>
      <c r="F313" s="166"/>
      <c r="G313" s="164"/>
      <c r="H313" s="165"/>
      <c r="I313" s="166"/>
      <c r="J313" s="166"/>
      <c r="K313" s="166"/>
      <c r="L313" s="166"/>
      <c r="M313" s="285"/>
      <c r="N313" s="285"/>
      <c r="O313" s="294"/>
      <c r="P313" s="294"/>
      <c r="Q313" s="285"/>
      <c r="R313" s="285"/>
      <c r="S313" s="285"/>
      <c r="T313" s="285"/>
      <c r="U313" s="285"/>
      <c r="V313" s="281"/>
    </row>
    <row r="314" spans="1:22" s="151" customFormat="1" ht="32.450000000000003" customHeight="1" x14ac:dyDescent="0.35">
      <c r="A314" s="468" t="s">
        <v>35</v>
      </c>
      <c r="B314" s="447"/>
      <c r="C314" s="265"/>
      <c r="D314" s="265"/>
      <c r="E314" s="265"/>
      <c r="F314" s="265"/>
      <c r="G314" s="266"/>
      <c r="H314" s="267"/>
      <c r="I314" s="265"/>
      <c r="J314" s="265"/>
      <c r="K314" s="265"/>
      <c r="L314" s="265"/>
      <c r="M314" s="448"/>
      <c r="N314" s="448"/>
      <c r="O314" s="448"/>
      <c r="P314" s="448"/>
      <c r="Q314" s="448"/>
      <c r="R314" s="448"/>
      <c r="S314" s="448"/>
      <c r="T314" s="448"/>
      <c r="U314" s="448"/>
      <c r="V314" s="449"/>
    </row>
    <row r="315" spans="1:22" s="1" customFormat="1" ht="16.5" x14ac:dyDescent="0.25">
      <c r="A315" s="510"/>
      <c r="B315" s="511"/>
      <c r="C315" s="511"/>
      <c r="D315" s="511"/>
      <c r="E315" s="511"/>
      <c r="F315" s="511"/>
      <c r="G315" s="511"/>
      <c r="H315" s="511"/>
      <c r="I315" s="511"/>
      <c r="J315" s="511"/>
      <c r="K315" s="511"/>
      <c r="L315" s="511"/>
      <c r="M315" s="511"/>
      <c r="N315" s="511"/>
      <c r="O315" s="511"/>
      <c r="P315" s="511"/>
      <c r="Q315" s="511"/>
      <c r="R315" s="511"/>
      <c r="S315" s="511"/>
      <c r="T315" s="511"/>
      <c r="U315" s="511"/>
      <c r="V315" s="512"/>
    </row>
    <row r="316" spans="1:22" s="1" customFormat="1" ht="17.25" thickBot="1" x14ac:dyDescent="0.3">
      <c r="A316" s="454"/>
      <c r="B316" s="293"/>
      <c r="C316" s="166"/>
      <c r="D316" s="166"/>
      <c r="E316" s="166"/>
      <c r="F316" s="166"/>
      <c r="G316" s="164"/>
      <c r="H316" s="165"/>
      <c r="I316" s="166"/>
      <c r="J316" s="166"/>
      <c r="K316" s="166"/>
      <c r="L316" s="166"/>
      <c r="M316" s="285"/>
      <c r="N316" s="285"/>
      <c r="O316" s="294"/>
      <c r="P316" s="294"/>
      <c r="Q316" s="285"/>
      <c r="R316" s="285"/>
      <c r="S316" s="285"/>
      <c r="T316" s="285"/>
      <c r="U316" s="285"/>
      <c r="V316" s="281"/>
    </row>
    <row r="317" spans="1:22" s="1" customFormat="1" ht="16.5" x14ac:dyDescent="0.25">
      <c r="A317" s="543" t="s">
        <v>254</v>
      </c>
      <c r="B317" s="544"/>
      <c r="C317" s="544"/>
      <c r="D317" s="544"/>
      <c r="E317" s="544"/>
      <c r="F317" s="544"/>
      <c r="G317" s="544"/>
      <c r="H317" s="544"/>
      <c r="I317" s="544"/>
      <c r="J317" s="544"/>
      <c r="K317" s="544"/>
      <c r="L317" s="544"/>
      <c r="M317" s="544"/>
      <c r="N317" s="544"/>
      <c r="O317" s="544"/>
      <c r="P317" s="544"/>
      <c r="Q317" s="544"/>
      <c r="R317" s="544"/>
      <c r="S317" s="544"/>
      <c r="T317" s="544"/>
      <c r="U317" s="544"/>
      <c r="V317" s="545"/>
    </row>
    <row r="318" spans="1:22" s="1" customFormat="1" ht="17.25" thickBot="1" x14ac:dyDescent="0.25">
      <c r="A318" s="540">
        <v>3321</v>
      </c>
      <c r="B318" s="541"/>
      <c r="C318" s="541"/>
      <c r="D318" s="541"/>
      <c r="E318" s="541"/>
      <c r="F318" s="541"/>
      <c r="G318" s="541"/>
      <c r="H318" s="541"/>
      <c r="I318" s="541"/>
      <c r="J318" s="541"/>
      <c r="K318" s="541"/>
      <c r="L318" s="541"/>
      <c r="M318" s="541"/>
      <c r="N318" s="541"/>
      <c r="O318" s="541"/>
      <c r="P318" s="541"/>
      <c r="Q318" s="541"/>
      <c r="R318" s="541"/>
      <c r="S318" s="541"/>
      <c r="T318" s="541"/>
      <c r="U318" s="541"/>
      <c r="V318" s="542"/>
    </row>
    <row r="319" spans="1:22" s="1" customFormat="1" ht="16.5" x14ac:dyDescent="0.25">
      <c r="A319" s="452"/>
      <c r="B319" s="529" t="s">
        <v>123</v>
      </c>
      <c r="C319" s="530"/>
      <c r="D319" s="530"/>
      <c r="E319" s="530"/>
      <c r="F319" s="531"/>
      <c r="G319" s="549" t="s">
        <v>124</v>
      </c>
      <c r="H319" s="532"/>
      <c r="I319" s="532"/>
      <c r="J319" s="532"/>
      <c r="K319" s="550"/>
      <c r="L319" s="533" t="s">
        <v>132</v>
      </c>
      <c r="M319" s="535" t="s">
        <v>133</v>
      </c>
      <c r="N319" s="514" t="s">
        <v>2</v>
      </c>
      <c r="O319" s="515"/>
      <c r="P319" s="515"/>
      <c r="Q319" s="515"/>
      <c r="R319" s="515"/>
      <c r="S319" s="516"/>
      <c r="T319" s="295"/>
      <c r="U319" s="296"/>
      <c r="V319" s="297"/>
    </row>
    <row r="320" spans="1:22" s="1" customFormat="1" ht="33.75" thickBot="1" x14ac:dyDescent="0.25">
      <c r="A320" s="212"/>
      <c r="B320" s="268" t="s">
        <v>6</v>
      </c>
      <c r="C320" s="173" t="s">
        <v>144</v>
      </c>
      <c r="D320" s="173" t="s">
        <v>139</v>
      </c>
      <c r="E320" s="173" t="s">
        <v>145</v>
      </c>
      <c r="F320" s="174" t="s">
        <v>140</v>
      </c>
      <c r="G320" s="175" t="s">
        <v>9</v>
      </c>
      <c r="H320" s="173" t="s">
        <v>136</v>
      </c>
      <c r="I320" s="173" t="s">
        <v>135</v>
      </c>
      <c r="J320" s="173" t="s">
        <v>134</v>
      </c>
      <c r="K320" s="174" t="s">
        <v>137</v>
      </c>
      <c r="L320" s="534"/>
      <c r="M320" s="536"/>
      <c r="N320" s="268" t="s">
        <v>10</v>
      </c>
      <c r="O320" s="173" t="s">
        <v>11</v>
      </c>
      <c r="P320" s="173" t="s">
        <v>120</v>
      </c>
      <c r="Q320" s="173" t="s">
        <v>122</v>
      </c>
      <c r="R320" s="173" t="s">
        <v>121</v>
      </c>
      <c r="S320" s="174" t="s">
        <v>116</v>
      </c>
      <c r="T320" s="283" t="s">
        <v>141</v>
      </c>
      <c r="U320" s="173" t="s">
        <v>143</v>
      </c>
      <c r="V320" s="174" t="s">
        <v>142</v>
      </c>
    </row>
    <row r="321" spans="1:22" s="1" customFormat="1" ht="15" customHeight="1" x14ac:dyDescent="0.2">
      <c r="A321" s="213"/>
      <c r="B321" s="269"/>
      <c r="C321" s="214"/>
      <c r="D321" s="214"/>
      <c r="E321" s="214"/>
      <c r="F321" s="215"/>
      <c r="G321" s="216"/>
      <c r="H321" s="217"/>
      <c r="I321" s="214"/>
      <c r="J321" s="214"/>
      <c r="K321" s="215"/>
      <c r="L321" s="269"/>
      <c r="M321" s="215"/>
      <c r="N321" s="269"/>
      <c r="O321" s="284"/>
      <c r="P321" s="284"/>
      <c r="Q321" s="214"/>
      <c r="R321" s="214"/>
      <c r="S321" s="215"/>
      <c r="T321" s="214"/>
      <c r="U321" s="214"/>
      <c r="V321" s="215"/>
    </row>
    <row r="322" spans="1:22" s="1" customFormat="1" ht="16.5" x14ac:dyDescent="0.25">
      <c r="A322" s="450" t="s">
        <v>252</v>
      </c>
      <c r="B322" s="251" t="s">
        <v>17</v>
      </c>
      <c r="C322" s="166">
        <f>'RETRIBUCIONES 2025'!$F$4</f>
        <v>716.98</v>
      </c>
      <c r="D322" s="166">
        <f>C322*12</f>
        <v>8603.76</v>
      </c>
      <c r="E322" s="166">
        <f>1*'RETRIBUCIONES 2025'!$F$5</f>
        <v>21.46</v>
      </c>
      <c r="F322" s="177">
        <f>E322*12</f>
        <v>257.52</v>
      </c>
      <c r="G322" s="220">
        <v>17</v>
      </c>
      <c r="H322" s="166">
        <f>'RETRIBUCIONES 2025'!$J$14</f>
        <v>445.5</v>
      </c>
      <c r="I322" s="166">
        <f>H322*12</f>
        <v>5346</v>
      </c>
      <c r="J322" s="166">
        <v>509.79</v>
      </c>
      <c r="K322" s="281">
        <f>J322*12</f>
        <v>6117.4800000000005</v>
      </c>
      <c r="L322" s="205">
        <f>C322+E322+H322+J322</f>
        <v>1693.73</v>
      </c>
      <c r="M322" s="281">
        <f>D322+F322+I322+K322</f>
        <v>20324.760000000002</v>
      </c>
      <c r="N322" s="285">
        <f>'RETRIBUCIONES 2025'!$F$9</f>
        <v>710.44</v>
      </c>
      <c r="O322" s="166">
        <f>'RETRIBUCIONES 2025'!F10</f>
        <v>21.24</v>
      </c>
      <c r="P322" s="285">
        <f>SUM(N322:O322)</f>
        <v>731.68000000000006</v>
      </c>
      <c r="Q322" s="285">
        <f>H322</f>
        <v>445.5</v>
      </c>
      <c r="R322" s="285">
        <f>J322</f>
        <v>509.79</v>
      </c>
      <c r="S322" s="285">
        <f>SUM(P322:R322)</f>
        <v>1686.97</v>
      </c>
      <c r="T322" s="219">
        <f>M322+S322*2</f>
        <v>23698.7</v>
      </c>
      <c r="U322" s="285">
        <f>T322*0.33</f>
        <v>7820.5710000000008</v>
      </c>
      <c r="V322" s="281">
        <f>SUM(T322:U322)</f>
        <v>31519.271000000001</v>
      </c>
    </row>
    <row r="323" spans="1:22" s="1" customFormat="1" ht="16.5" x14ac:dyDescent="0.25">
      <c r="A323" s="454"/>
      <c r="B323" s="251"/>
      <c r="C323" s="166"/>
      <c r="D323" s="166"/>
      <c r="E323" s="166"/>
      <c r="F323" s="177"/>
      <c r="G323" s="220"/>
      <c r="H323" s="166"/>
      <c r="I323" s="166"/>
      <c r="J323" s="166"/>
      <c r="K323" s="281"/>
      <c r="L323" s="205"/>
      <c r="M323" s="281"/>
      <c r="N323" s="219"/>
      <c r="O323" s="166"/>
      <c r="P323" s="285"/>
      <c r="Q323" s="285"/>
      <c r="R323" s="285"/>
      <c r="S323" s="281"/>
      <c r="T323" s="285"/>
      <c r="U323" s="285"/>
      <c r="V323" s="281"/>
    </row>
    <row r="324" spans="1:22" s="33" customFormat="1" ht="20.100000000000001" customHeight="1" x14ac:dyDescent="0.25">
      <c r="A324" s="469" t="s">
        <v>76</v>
      </c>
      <c r="B324" s="286"/>
      <c r="C324" s="270">
        <f>SUM(C322:C323)</f>
        <v>716.98</v>
      </c>
      <c r="D324" s="270">
        <f>SUM(D322:D323)</f>
        <v>8603.76</v>
      </c>
      <c r="E324" s="270">
        <f>SUM(E322:E323)</f>
        <v>21.46</v>
      </c>
      <c r="F324" s="271">
        <f>SUM(F322:F323)</f>
        <v>257.52</v>
      </c>
      <c r="G324" s="272"/>
      <c r="H324" s="270">
        <f t="shared" ref="H324:V324" si="113">SUM(H322:H323)</f>
        <v>445.5</v>
      </c>
      <c r="I324" s="270">
        <f t="shared" si="113"/>
        <v>5346</v>
      </c>
      <c r="J324" s="270">
        <f t="shared" si="113"/>
        <v>509.79</v>
      </c>
      <c r="K324" s="271">
        <f t="shared" si="113"/>
        <v>6117.4800000000005</v>
      </c>
      <c r="L324" s="272">
        <f t="shared" si="113"/>
        <v>1693.73</v>
      </c>
      <c r="M324" s="271">
        <f t="shared" si="113"/>
        <v>20324.760000000002</v>
      </c>
      <c r="N324" s="272">
        <f t="shared" si="113"/>
        <v>710.44</v>
      </c>
      <c r="O324" s="270">
        <f t="shared" si="113"/>
        <v>21.24</v>
      </c>
      <c r="P324" s="270">
        <f t="shared" si="113"/>
        <v>731.68000000000006</v>
      </c>
      <c r="Q324" s="270">
        <f t="shared" si="113"/>
        <v>445.5</v>
      </c>
      <c r="R324" s="270">
        <f t="shared" si="113"/>
        <v>509.79</v>
      </c>
      <c r="S324" s="271">
        <f t="shared" si="113"/>
        <v>1686.97</v>
      </c>
      <c r="T324" s="270">
        <f t="shared" si="113"/>
        <v>23698.7</v>
      </c>
      <c r="U324" s="270">
        <f t="shared" si="113"/>
        <v>7820.5710000000008</v>
      </c>
      <c r="V324" s="271">
        <f t="shared" si="113"/>
        <v>31519.271000000001</v>
      </c>
    </row>
    <row r="325" spans="1:22" s="1" customFormat="1" ht="17.25" thickBot="1" x14ac:dyDescent="0.3">
      <c r="A325" s="459"/>
      <c r="B325" s="288"/>
      <c r="C325" s="226"/>
      <c r="D325" s="226"/>
      <c r="E325" s="226"/>
      <c r="F325" s="227"/>
      <c r="G325" s="228"/>
      <c r="H325" s="229"/>
      <c r="I325" s="226"/>
      <c r="J325" s="226"/>
      <c r="K325" s="227"/>
      <c r="L325" s="273"/>
      <c r="M325" s="289"/>
      <c r="N325" s="287"/>
      <c r="O325" s="290"/>
      <c r="P325" s="290"/>
      <c r="Q325" s="291"/>
      <c r="R325" s="226"/>
      <c r="S325" s="289"/>
      <c r="T325" s="292" t="s">
        <v>178</v>
      </c>
      <c r="U325" s="292" t="s">
        <v>179</v>
      </c>
      <c r="V325" s="289"/>
    </row>
    <row r="326" spans="1:22" s="1" customFormat="1" ht="17.25" thickBot="1" x14ac:dyDescent="0.3">
      <c r="A326" s="454"/>
      <c r="B326" s="293"/>
      <c r="C326" s="166"/>
      <c r="D326" s="166"/>
      <c r="E326" s="166"/>
      <c r="F326" s="166"/>
      <c r="G326" s="164"/>
      <c r="H326" s="165"/>
      <c r="I326" s="166"/>
      <c r="J326" s="166"/>
      <c r="K326" s="166"/>
      <c r="L326" s="166"/>
      <c r="M326" s="285"/>
      <c r="N326" s="285"/>
      <c r="O326" s="294"/>
      <c r="P326" s="294"/>
      <c r="Q326" s="285"/>
      <c r="R326" s="285"/>
      <c r="S326" s="285"/>
      <c r="T326" s="285"/>
      <c r="U326" s="285"/>
      <c r="V326" s="281"/>
    </row>
    <row r="327" spans="1:22" s="1" customFormat="1" ht="16.5" x14ac:dyDescent="0.25">
      <c r="A327" s="543" t="s">
        <v>255</v>
      </c>
      <c r="B327" s="544"/>
      <c r="C327" s="544"/>
      <c r="D327" s="544"/>
      <c r="E327" s="544"/>
      <c r="F327" s="544"/>
      <c r="G327" s="544"/>
      <c r="H327" s="544"/>
      <c r="I327" s="544"/>
      <c r="J327" s="544"/>
      <c r="K327" s="544"/>
      <c r="L327" s="544"/>
      <c r="M327" s="544"/>
      <c r="N327" s="544"/>
      <c r="O327" s="544"/>
      <c r="P327" s="544"/>
      <c r="Q327" s="544"/>
      <c r="R327" s="544"/>
      <c r="S327" s="544"/>
      <c r="T327" s="544"/>
      <c r="U327" s="544"/>
      <c r="V327" s="545"/>
    </row>
    <row r="328" spans="1:22" s="1" customFormat="1" ht="17.25" thickBot="1" x14ac:dyDescent="0.25">
      <c r="A328" s="540">
        <v>151</v>
      </c>
      <c r="B328" s="541"/>
      <c r="C328" s="541"/>
      <c r="D328" s="541"/>
      <c r="E328" s="541"/>
      <c r="F328" s="541"/>
      <c r="G328" s="541"/>
      <c r="H328" s="541"/>
      <c r="I328" s="541"/>
      <c r="J328" s="541"/>
      <c r="K328" s="541"/>
      <c r="L328" s="541"/>
      <c r="M328" s="541"/>
      <c r="N328" s="541"/>
      <c r="O328" s="541"/>
      <c r="P328" s="541"/>
      <c r="Q328" s="541"/>
      <c r="R328" s="541"/>
      <c r="S328" s="541"/>
      <c r="T328" s="541"/>
      <c r="U328" s="541"/>
      <c r="V328" s="542"/>
    </row>
    <row r="329" spans="1:22" s="1" customFormat="1" ht="16.5" x14ac:dyDescent="0.25">
      <c r="A329" s="452"/>
      <c r="B329" s="529" t="s">
        <v>123</v>
      </c>
      <c r="C329" s="530"/>
      <c r="D329" s="530"/>
      <c r="E329" s="530"/>
      <c r="F329" s="531"/>
      <c r="G329" s="549" t="s">
        <v>124</v>
      </c>
      <c r="H329" s="532"/>
      <c r="I329" s="532"/>
      <c r="J329" s="532"/>
      <c r="K329" s="550"/>
      <c r="L329" s="533" t="s">
        <v>132</v>
      </c>
      <c r="M329" s="517" t="s">
        <v>133</v>
      </c>
      <c r="N329" s="514" t="s">
        <v>2</v>
      </c>
      <c r="O329" s="515"/>
      <c r="P329" s="515"/>
      <c r="Q329" s="515"/>
      <c r="R329" s="515"/>
      <c r="S329" s="516"/>
      <c r="T329" s="295"/>
      <c r="U329" s="296"/>
      <c r="V329" s="297"/>
    </row>
    <row r="330" spans="1:22" s="1" customFormat="1" ht="60.75" customHeight="1" thickBot="1" x14ac:dyDescent="0.25">
      <c r="A330" s="212"/>
      <c r="B330" s="268" t="s">
        <v>6</v>
      </c>
      <c r="C330" s="173" t="s">
        <v>144</v>
      </c>
      <c r="D330" s="173" t="s">
        <v>139</v>
      </c>
      <c r="E330" s="173" t="s">
        <v>145</v>
      </c>
      <c r="F330" s="174" t="s">
        <v>140</v>
      </c>
      <c r="G330" s="175" t="s">
        <v>9</v>
      </c>
      <c r="H330" s="173" t="s">
        <v>136</v>
      </c>
      <c r="I330" s="173" t="s">
        <v>135</v>
      </c>
      <c r="J330" s="173" t="s">
        <v>134</v>
      </c>
      <c r="K330" s="174" t="s">
        <v>137</v>
      </c>
      <c r="L330" s="534"/>
      <c r="M330" s="518"/>
      <c r="N330" s="268" t="s">
        <v>10</v>
      </c>
      <c r="O330" s="173" t="s">
        <v>11</v>
      </c>
      <c r="P330" s="173" t="s">
        <v>120</v>
      </c>
      <c r="Q330" s="173" t="s">
        <v>122</v>
      </c>
      <c r="R330" s="173" t="s">
        <v>121</v>
      </c>
      <c r="S330" s="174" t="s">
        <v>116</v>
      </c>
      <c r="T330" s="283" t="s">
        <v>141</v>
      </c>
      <c r="U330" s="173" t="s">
        <v>143</v>
      </c>
      <c r="V330" s="174" t="s">
        <v>142</v>
      </c>
    </row>
    <row r="331" spans="1:22" s="1" customFormat="1" ht="16.5" x14ac:dyDescent="0.2">
      <c r="A331" s="213"/>
      <c r="B331" s="269"/>
      <c r="C331" s="214"/>
      <c r="D331" s="214"/>
      <c r="E331" s="214"/>
      <c r="F331" s="215"/>
      <c r="G331" s="216"/>
      <c r="H331" s="217"/>
      <c r="I331" s="214"/>
      <c r="J331" s="214"/>
      <c r="K331" s="215"/>
      <c r="L331" s="269"/>
      <c r="M331" s="214"/>
      <c r="N331" s="269"/>
      <c r="O331" s="284"/>
      <c r="P331" s="284"/>
      <c r="Q331" s="214"/>
      <c r="R331" s="214"/>
      <c r="S331" s="215"/>
      <c r="T331" s="214"/>
      <c r="U331" s="214"/>
      <c r="V331" s="215"/>
    </row>
    <row r="332" spans="1:22" s="1" customFormat="1" ht="16.5" x14ac:dyDescent="0.25">
      <c r="A332" s="450" t="s">
        <v>253</v>
      </c>
      <c r="B332" s="251" t="s">
        <v>17</v>
      </c>
      <c r="C332" s="166">
        <f>'RETRIBUCIONES 2025'!$F$4</f>
        <v>716.98</v>
      </c>
      <c r="D332" s="166">
        <f>C332*12</f>
        <v>8603.76</v>
      </c>
      <c r="E332" s="166">
        <v>0</v>
      </c>
      <c r="F332" s="177">
        <f>E332*12</f>
        <v>0</v>
      </c>
      <c r="G332" s="220">
        <v>17</v>
      </c>
      <c r="H332" s="166">
        <f>'RETRIBUCIONES 2025'!$J$14</f>
        <v>445.5</v>
      </c>
      <c r="I332" s="166">
        <f>H332*12</f>
        <v>5346</v>
      </c>
      <c r="J332" s="166">
        <v>509.79</v>
      </c>
      <c r="K332" s="281">
        <f>J332*12</f>
        <v>6117.4800000000005</v>
      </c>
      <c r="L332" s="205">
        <f>C332+E332+H332+J332</f>
        <v>1672.27</v>
      </c>
      <c r="M332" s="285">
        <f>D332+F332+I332+K332</f>
        <v>20067.240000000002</v>
      </c>
      <c r="N332" s="219">
        <f>'RETRIBUCIONES 2025'!$F$9</f>
        <v>710.44</v>
      </c>
      <c r="O332" s="166">
        <v>0</v>
      </c>
      <c r="P332" s="285">
        <f>SUM(N332:O332)</f>
        <v>710.44</v>
      </c>
      <c r="Q332" s="285">
        <f>H332</f>
        <v>445.5</v>
      </c>
      <c r="R332" s="285">
        <f>J332</f>
        <v>509.79</v>
      </c>
      <c r="S332" s="281">
        <f>SUM(P332:R332)</f>
        <v>1665.73</v>
      </c>
      <c r="T332" s="285">
        <f>M332+S332*2</f>
        <v>23398.7</v>
      </c>
      <c r="U332" s="285">
        <f>T332*0.33</f>
        <v>7721.5710000000008</v>
      </c>
      <c r="V332" s="281">
        <f>SUM(T332:U332)</f>
        <v>31120.271000000001</v>
      </c>
    </row>
    <row r="333" spans="1:22" s="1" customFormat="1" ht="16.5" x14ac:dyDescent="0.25">
      <c r="A333" s="454"/>
      <c r="B333" s="251"/>
      <c r="C333" s="166"/>
      <c r="D333" s="166"/>
      <c r="E333" s="166"/>
      <c r="F333" s="177"/>
      <c r="G333" s="220"/>
      <c r="H333" s="166"/>
      <c r="I333" s="166"/>
      <c r="J333" s="166"/>
      <c r="K333" s="281"/>
      <c r="L333" s="205"/>
      <c r="M333" s="285"/>
      <c r="N333" s="219"/>
      <c r="O333" s="166"/>
      <c r="P333" s="285"/>
      <c r="Q333" s="285"/>
      <c r="R333" s="285"/>
      <c r="S333" s="281"/>
      <c r="T333" s="285"/>
      <c r="U333" s="285"/>
      <c r="V333" s="281"/>
    </row>
    <row r="334" spans="1:22" s="33" customFormat="1" ht="20.100000000000001" customHeight="1" x14ac:dyDescent="0.25">
      <c r="A334" s="469" t="s">
        <v>28</v>
      </c>
      <c r="B334" s="286"/>
      <c r="C334" s="270">
        <f>SUM(C332:C333)</f>
        <v>716.98</v>
      </c>
      <c r="D334" s="270">
        <f t="shared" ref="D334:V334" si="114">SUM(D332:D333)</f>
        <v>8603.76</v>
      </c>
      <c r="E334" s="270">
        <f t="shared" si="114"/>
        <v>0</v>
      </c>
      <c r="F334" s="270">
        <f t="shared" si="114"/>
        <v>0</v>
      </c>
      <c r="G334" s="270"/>
      <c r="H334" s="270">
        <f t="shared" si="114"/>
        <v>445.5</v>
      </c>
      <c r="I334" s="270">
        <f t="shared" si="114"/>
        <v>5346</v>
      </c>
      <c r="J334" s="270">
        <f t="shared" si="114"/>
        <v>509.79</v>
      </c>
      <c r="K334" s="270">
        <f t="shared" si="114"/>
        <v>6117.4800000000005</v>
      </c>
      <c r="L334" s="270">
        <f t="shared" si="114"/>
        <v>1672.27</v>
      </c>
      <c r="M334" s="270">
        <f t="shared" si="114"/>
        <v>20067.240000000002</v>
      </c>
      <c r="N334" s="272">
        <f t="shared" si="114"/>
        <v>710.44</v>
      </c>
      <c r="O334" s="270">
        <f t="shared" si="114"/>
        <v>0</v>
      </c>
      <c r="P334" s="270">
        <f t="shared" si="114"/>
        <v>710.44</v>
      </c>
      <c r="Q334" s="270">
        <f t="shared" si="114"/>
        <v>445.5</v>
      </c>
      <c r="R334" s="270">
        <f t="shared" si="114"/>
        <v>509.79</v>
      </c>
      <c r="S334" s="271">
        <f t="shared" si="114"/>
        <v>1665.73</v>
      </c>
      <c r="T334" s="270">
        <f t="shared" si="114"/>
        <v>23398.7</v>
      </c>
      <c r="U334" s="270">
        <f t="shared" si="114"/>
        <v>7721.5710000000008</v>
      </c>
      <c r="V334" s="271">
        <f t="shared" si="114"/>
        <v>31120.271000000001</v>
      </c>
    </row>
    <row r="335" spans="1:22" s="1" customFormat="1" ht="17.25" thickBot="1" x14ac:dyDescent="0.3">
      <c r="A335" s="457"/>
      <c r="B335" s="299"/>
      <c r="C335" s="274"/>
      <c r="D335" s="274"/>
      <c r="E335" s="274"/>
      <c r="F335" s="275"/>
      <c r="G335" s="276"/>
      <c r="H335" s="277"/>
      <c r="I335" s="274"/>
      <c r="J335" s="274"/>
      <c r="K335" s="275"/>
      <c r="L335" s="278"/>
      <c r="M335" s="290"/>
      <c r="N335" s="298"/>
      <c r="O335" s="290"/>
      <c r="P335" s="290"/>
      <c r="Q335" s="290"/>
      <c r="R335" s="274"/>
      <c r="S335" s="301"/>
      <c r="T335" s="292" t="s">
        <v>215</v>
      </c>
      <c r="U335" s="292" t="s">
        <v>216</v>
      </c>
      <c r="V335" s="301"/>
    </row>
    <row r="336" spans="1:22" s="1" customFormat="1" ht="16.5" x14ac:dyDescent="0.25">
      <c r="A336" s="453"/>
      <c r="B336" s="309"/>
      <c r="C336" s="188"/>
      <c r="D336" s="188"/>
      <c r="E336" s="188"/>
      <c r="F336" s="188"/>
      <c r="G336" s="210"/>
      <c r="H336" s="236"/>
      <c r="I336" s="188"/>
      <c r="J336" s="188"/>
      <c r="K336" s="188"/>
      <c r="L336" s="188"/>
      <c r="M336" s="294"/>
      <c r="N336" s="294"/>
      <c r="O336" s="294"/>
      <c r="P336" s="294"/>
      <c r="Q336" s="294"/>
      <c r="R336" s="188"/>
      <c r="S336" s="294"/>
      <c r="T336" s="294"/>
      <c r="U336" s="294"/>
      <c r="V336" s="304"/>
    </row>
    <row r="337" spans="1:22" s="1" customFormat="1" ht="17.25" thickBot="1" x14ac:dyDescent="0.3">
      <c r="A337" s="454"/>
      <c r="B337" s="293"/>
      <c r="C337" s="166"/>
      <c r="D337" s="166"/>
      <c r="E337" s="166"/>
      <c r="F337" s="166"/>
      <c r="G337" s="164"/>
      <c r="H337" s="165"/>
      <c r="I337" s="166"/>
      <c r="J337" s="166"/>
      <c r="K337" s="166"/>
      <c r="L337" s="166"/>
      <c r="M337" s="285"/>
      <c r="N337" s="285"/>
      <c r="O337" s="294"/>
      <c r="P337" s="294"/>
      <c r="Q337" s="285"/>
      <c r="R337" s="285"/>
      <c r="S337" s="285"/>
      <c r="T337" s="285"/>
      <c r="U337" s="285"/>
      <c r="V337" s="281"/>
    </row>
    <row r="338" spans="1:22" s="1" customFormat="1" ht="15" customHeight="1" x14ac:dyDescent="0.25">
      <c r="A338" s="543" t="s">
        <v>109</v>
      </c>
      <c r="B338" s="544"/>
      <c r="C338" s="544"/>
      <c r="D338" s="544"/>
      <c r="E338" s="544"/>
      <c r="F338" s="544"/>
      <c r="G338" s="544"/>
      <c r="H338" s="544"/>
      <c r="I338" s="544"/>
      <c r="J338" s="544"/>
      <c r="K338" s="544"/>
      <c r="L338" s="544"/>
      <c r="M338" s="544"/>
      <c r="N338" s="544"/>
      <c r="O338" s="544"/>
      <c r="P338" s="544"/>
      <c r="Q338" s="544"/>
      <c r="R338" s="544"/>
      <c r="S338" s="544"/>
      <c r="T338" s="544"/>
      <c r="U338" s="544"/>
      <c r="V338" s="545"/>
    </row>
    <row r="339" spans="1:22" s="1" customFormat="1" ht="15" customHeight="1" thickBot="1" x14ac:dyDescent="0.25">
      <c r="A339" s="540">
        <v>920</v>
      </c>
      <c r="B339" s="541"/>
      <c r="C339" s="541"/>
      <c r="D339" s="541"/>
      <c r="E339" s="541"/>
      <c r="F339" s="541"/>
      <c r="G339" s="541"/>
      <c r="H339" s="541"/>
      <c r="I339" s="541"/>
      <c r="J339" s="541"/>
      <c r="K339" s="541"/>
      <c r="L339" s="541"/>
      <c r="M339" s="541"/>
      <c r="N339" s="541"/>
      <c r="O339" s="541"/>
      <c r="P339" s="541"/>
      <c r="Q339" s="541"/>
      <c r="R339" s="541"/>
      <c r="S339" s="541"/>
      <c r="T339" s="541"/>
      <c r="U339" s="541"/>
      <c r="V339" s="542"/>
    </row>
    <row r="340" spans="1:22" s="1" customFormat="1" ht="16.5" x14ac:dyDescent="0.25">
      <c r="A340" s="454"/>
      <c r="B340" s="529" t="s">
        <v>123</v>
      </c>
      <c r="C340" s="530"/>
      <c r="D340" s="530"/>
      <c r="E340" s="530"/>
      <c r="F340" s="531"/>
      <c r="G340" s="549" t="s">
        <v>124</v>
      </c>
      <c r="H340" s="532"/>
      <c r="I340" s="532"/>
      <c r="J340" s="532"/>
      <c r="K340" s="550"/>
      <c r="L340" s="533" t="s">
        <v>132</v>
      </c>
      <c r="M340" s="535" t="s">
        <v>133</v>
      </c>
      <c r="N340" s="514" t="s">
        <v>2</v>
      </c>
      <c r="O340" s="515"/>
      <c r="P340" s="515"/>
      <c r="Q340" s="515"/>
      <c r="R340" s="515"/>
      <c r="S340" s="516"/>
      <c r="T340" s="279"/>
      <c r="U340" s="280"/>
      <c r="V340" s="281"/>
    </row>
    <row r="341" spans="1:22" s="1" customFormat="1" ht="33.75" thickBot="1" x14ac:dyDescent="0.25">
      <c r="A341" s="212"/>
      <c r="B341" s="268" t="s">
        <v>6</v>
      </c>
      <c r="C341" s="173" t="s">
        <v>144</v>
      </c>
      <c r="D341" s="173" t="s">
        <v>139</v>
      </c>
      <c r="E341" s="173" t="s">
        <v>145</v>
      </c>
      <c r="F341" s="174" t="s">
        <v>140</v>
      </c>
      <c r="G341" s="175" t="s">
        <v>9</v>
      </c>
      <c r="H341" s="173" t="s">
        <v>136</v>
      </c>
      <c r="I341" s="173" t="s">
        <v>135</v>
      </c>
      <c r="J341" s="173" t="s">
        <v>134</v>
      </c>
      <c r="K341" s="174" t="s">
        <v>137</v>
      </c>
      <c r="L341" s="534"/>
      <c r="M341" s="536"/>
      <c r="N341" s="268" t="s">
        <v>10</v>
      </c>
      <c r="O341" s="173" t="s">
        <v>11</v>
      </c>
      <c r="P341" s="173" t="s">
        <v>120</v>
      </c>
      <c r="Q341" s="173" t="s">
        <v>122</v>
      </c>
      <c r="R341" s="173" t="s">
        <v>121</v>
      </c>
      <c r="S341" s="174" t="s">
        <v>116</v>
      </c>
      <c r="T341" s="283" t="s">
        <v>141</v>
      </c>
      <c r="U341" s="173" t="s">
        <v>143</v>
      </c>
      <c r="V341" s="174" t="s">
        <v>142</v>
      </c>
    </row>
    <row r="342" spans="1:22" s="1" customFormat="1" ht="16.5" x14ac:dyDescent="0.2">
      <c r="A342" s="213"/>
      <c r="B342" s="269"/>
      <c r="C342" s="214"/>
      <c r="D342" s="214"/>
      <c r="E342" s="214"/>
      <c r="F342" s="215"/>
      <c r="G342" s="216"/>
      <c r="H342" s="217"/>
      <c r="I342" s="214"/>
      <c r="J342" s="214"/>
      <c r="K342" s="215"/>
      <c r="L342" s="269"/>
      <c r="M342" s="215"/>
      <c r="N342" s="269"/>
      <c r="O342" s="284"/>
      <c r="P342" s="284"/>
      <c r="Q342" s="214"/>
      <c r="R342" s="214"/>
      <c r="S342" s="215"/>
      <c r="T342" s="214"/>
      <c r="U342" s="214"/>
      <c r="V342" s="215"/>
    </row>
    <row r="343" spans="1:22" s="1" customFormat="1" ht="16.5" x14ac:dyDescent="0.25">
      <c r="A343" s="450" t="s">
        <v>256</v>
      </c>
      <c r="B343" s="251" t="s">
        <v>17</v>
      </c>
      <c r="C343" s="166">
        <f>'RETRIBUCIONES 2025'!$F$4</f>
        <v>716.98</v>
      </c>
      <c r="D343" s="166">
        <f>C343*12</f>
        <v>8603.76</v>
      </c>
      <c r="E343" s="166">
        <f>'RETRIBUCIONES 2025'!$F$5*5</f>
        <v>107.30000000000001</v>
      </c>
      <c r="F343" s="177">
        <f>E343*12</f>
        <v>1287.6000000000001</v>
      </c>
      <c r="G343" s="220">
        <v>17</v>
      </c>
      <c r="H343" s="166">
        <f>'RETRIBUCIONES 2025'!$J$14</f>
        <v>445.5</v>
      </c>
      <c r="I343" s="166">
        <f>H343*12</f>
        <v>5346</v>
      </c>
      <c r="J343" s="166">
        <v>509.79</v>
      </c>
      <c r="K343" s="281">
        <f>J343*12</f>
        <v>6117.4800000000005</v>
      </c>
      <c r="L343" s="205">
        <f>C343+E343+H343+J343</f>
        <v>1779.57</v>
      </c>
      <c r="M343" s="281">
        <f>D343+F343+I343+K343</f>
        <v>21354.84</v>
      </c>
      <c r="N343" s="219">
        <f>'RETRIBUCIONES 2025'!$F$9</f>
        <v>710.44</v>
      </c>
      <c r="O343" s="166">
        <f>'RETRIBUCIONES 2025'!$F$10*5</f>
        <v>106.19999999999999</v>
      </c>
      <c r="P343" s="285">
        <f>SUM(N343:O343)</f>
        <v>816.6400000000001</v>
      </c>
      <c r="Q343" s="285">
        <f>H343</f>
        <v>445.5</v>
      </c>
      <c r="R343" s="285">
        <f>J343</f>
        <v>509.79</v>
      </c>
      <c r="S343" s="281">
        <f>SUM(P343:R343)</f>
        <v>1771.93</v>
      </c>
      <c r="T343" s="285">
        <f>M343+S343*2</f>
        <v>24898.7</v>
      </c>
      <c r="U343" s="285">
        <f>T343*0.33</f>
        <v>8216.5709999999999</v>
      </c>
      <c r="V343" s="281">
        <f>SUM(T343:U343)</f>
        <v>33115.271000000001</v>
      </c>
    </row>
    <row r="344" spans="1:22" s="1" customFormat="1" ht="16.5" x14ac:dyDescent="0.25">
      <c r="A344" s="454"/>
      <c r="B344" s="251"/>
      <c r="C344" s="166"/>
      <c r="D344" s="166"/>
      <c r="E344" s="166"/>
      <c r="F344" s="177"/>
      <c r="G344" s="220"/>
      <c r="H344" s="166"/>
      <c r="I344" s="166"/>
      <c r="J344" s="166"/>
      <c r="K344" s="281"/>
      <c r="L344" s="205"/>
      <c r="M344" s="281"/>
      <c r="N344" s="219"/>
      <c r="O344" s="166"/>
      <c r="P344" s="285"/>
      <c r="Q344" s="285"/>
      <c r="R344" s="285"/>
      <c r="S344" s="281"/>
      <c r="T344" s="285"/>
      <c r="U344" s="285"/>
      <c r="V344" s="281"/>
    </row>
    <row r="345" spans="1:22" s="33" customFormat="1" ht="20.100000000000001" customHeight="1" x14ac:dyDescent="0.25">
      <c r="A345" s="469" t="s">
        <v>79</v>
      </c>
      <c r="B345" s="286"/>
      <c r="C345" s="270">
        <f>SUM(C343:C344)</f>
        <v>716.98</v>
      </c>
      <c r="D345" s="270">
        <f t="shared" ref="D345:V345" si="115">SUM(D343:D344)</f>
        <v>8603.76</v>
      </c>
      <c r="E345" s="270">
        <f t="shared" si="115"/>
        <v>107.30000000000001</v>
      </c>
      <c r="F345" s="271">
        <f t="shared" si="115"/>
        <v>1287.6000000000001</v>
      </c>
      <c r="G345" s="272"/>
      <c r="H345" s="270">
        <f t="shared" si="115"/>
        <v>445.5</v>
      </c>
      <c r="I345" s="270">
        <f t="shared" si="115"/>
        <v>5346</v>
      </c>
      <c r="J345" s="270">
        <f t="shared" si="115"/>
        <v>509.79</v>
      </c>
      <c r="K345" s="271">
        <f t="shared" si="115"/>
        <v>6117.4800000000005</v>
      </c>
      <c r="L345" s="272">
        <f t="shared" si="115"/>
        <v>1779.57</v>
      </c>
      <c r="M345" s="271">
        <f t="shared" si="115"/>
        <v>21354.84</v>
      </c>
      <c r="N345" s="272">
        <f t="shared" si="115"/>
        <v>710.44</v>
      </c>
      <c r="O345" s="270">
        <f t="shared" si="115"/>
        <v>106.19999999999999</v>
      </c>
      <c r="P345" s="270">
        <f t="shared" si="115"/>
        <v>816.6400000000001</v>
      </c>
      <c r="Q345" s="270">
        <f t="shared" si="115"/>
        <v>445.5</v>
      </c>
      <c r="R345" s="270">
        <f t="shared" si="115"/>
        <v>509.79</v>
      </c>
      <c r="S345" s="271">
        <f t="shared" si="115"/>
        <v>1771.93</v>
      </c>
      <c r="T345" s="270">
        <f t="shared" si="115"/>
        <v>24898.7</v>
      </c>
      <c r="U345" s="270">
        <f t="shared" si="115"/>
        <v>8216.5709999999999</v>
      </c>
      <c r="V345" s="271">
        <f t="shared" si="115"/>
        <v>33115.271000000001</v>
      </c>
    </row>
    <row r="346" spans="1:22" s="1" customFormat="1" ht="17.25" thickBot="1" x14ac:dyDescent="0.3">
      <c r="A346" s="459"/>
      <c r="B346" s="288"/>
      <c r="C346" s="226"/>
      <c r="D346" s="226"/>
      <c r="E346" s="226"/>
      <c r="F346" s="227"/>
      <c r="G346" s="228"/>
      <c r="H346" s="229"/>
      <c r="I346" s="226"/>
      <c r="J346" s="226"/>
      <c r="K346" s="227"/>
      <c r="L346" s="273"/>
      <c r="M346" s="289"/>
      <c r="N346" s="287"/>
      <c r="O346" s="290"/>
      <c r="P346" s="290"/>
      <c r="Q346" s="291"/>
      <c r="R346" s="291"/>
      <c r="S346" s="289"/>
      <c r="T346" s="292" t="s">
        <v>220</v>
      </c>
      <c r="U346" s="292" t="s">
        <v>180</v>
      </c>
      <c r="V346" s="289"/>
    </row>
    <row r="347" spans="1:22" s="1" customFormat="1" ht="16.5" x14ac:dyDescent="0.25">
      <c r="A347" s="454"/>
      <c r="B347" s="293"/>
      <c r="C347" s="166"/>
      <c r="D347" s="166"/>
      <c r="E347" s="166"/>
      <c r="F347" s="166"/>
      <c r="G347" s="164"/>
      <c r="H347" s="165"/>
      <c r="I347" s="166"/>
      <c r="J347" s="166"/>
      <c r="K347" s="166"/>
      <c r="L347" s="166"/>
      <c r="M347" s="285"/>
      <c r="N347" s="285"/>
      <c r="O347" s="294"/>
      <c r="P347" s="294"/>
      <c r="Q347" s="285"/>
      <c r="R347" s="285"/>
      <c r="S347" s="285"/>
      <c r="T347" s="285"/>
      <c r="U347" s="285"/>
      <c r="V347" s="281"/>
    </row>
    <row r="348" spans="1:22" s="1" customFormat="1" ht="17.25" thickBot="1" x14ac:dyDescent="0.3">
      <c r="A348" s="454"/>
      <c r="B348" s="293"/>
      <c r="C348" s="166"/>
      <c r="D348" s="166"/>
      <c r="E348" s="166"/>
      <c r="F348" s="166"/>
      <c r="G348" s="164"/>
      <c r="H348" s="165"/>
      <c r="I348" s="166"/>
      <c r="J348" s="166"/>
      <c r="K348" s="166"/>
      <c r="L348" s="166"/>
      <c r="M348" s="285"/>
      <c r="N348" s="285"/>
      <c r="O348" s="294"/>
      <c r="P348" s="294"/>
      <c r="Q348" s="285"/>
      <c r="R348" s="285"/>
      <c r="S348" s="285"/>
      <c r="T348" s="285"/>
      <c r="U348" s="285"/>
      <c r="V348" s="281"/>
    </row>
    <row r="349" spans="1:22" s="1" customFormat="1" ht="16.5" x14ac:dyDescent="0.25">
      <c r="A349" s="543" t="s">
        <v>36</v>
      </c>
      <c r="B349" s="544"/>
      <c r="C349" s="544"/>
      <c r="D349" s="544"/>
      <c r="E349" s="544"/>
      <c r="F349" s="544"/>
      <c r="G349" s="544"/>
      <c r="H349" s="544"/>
      <c r="I349" s="544"/>
      <c r="J349" s="544"/>
      <c r="K349" s="544"/>
      <c r="L349" s="544"/>
      <c r="M349" s="544"/>
      <c r="N349" s="544"/>
      <c r="O349" s="544"/>
      <c r="P349" s="544"/>
      <c r="Q349" s="544"/>
      <c r="R349" s="544"/>
      <c r="S349" s="544"/>
      <c r="T349" s="544"/>
      <c r="U349" s="544"/>
      <c r="V349" s="545"/>
    </row>
    <row r="350" spans="1:22" s="1" customFormat="1" ht="17.25" thickBot="1" x14ac:dyDescent="0.25">
      <c r="A350" s="540">
        <v>3233</v>
      </c>
      <c r="B350" s="541"/>
      <c r="C350" s="541"/>
      <c r="D350" s="541"/>
      <c r="E350" s="541"/>
      <c r="F350" s="541"/>
      <c r="G350" s="541"/>
      <c r="H350" s="541"/>
      <c r="I350" s="541"/>
      <c r="J350" s="541"/>
      <c r="K350" s="541"/>
      <c r="L350" s="541"/>
      <c r="M350" s="541"/>
      <c r="N350" s="541"/>
      <c r="O350" s="541"/>
      <c r="P350" s="541"/>
      <c r="Q350" s="541"/>
      <c r="R350" s="541"/>
      <c r="S350" s="541"/>
      <c r="T350" s="541"/>
      <c r="U350" s="541"/>
      <c r="V350" s="542"/>
    </row>
    <row r="351" spans="1:22" s="1" customFormat="1" ht="16.5" x14ac:dyDescent="0.25">
      <c r="A351" s="452"/>
      <c r="B351" s="529" t="s">
        <v>123</v>
      </c>
      <c r="C351" s="530"/>
      <c r="D351" s="530"/>
      <c r="E351" s="530"/>
      <c r="F351" s="531"/>
      <c r="G351" s="532" t="s">
        <v>124</v>
      </c>
      <c r="H351" s="532"/>
      <c r="I351" s="532"/>
      <c r="J351" s="532"/>
      <c r="K351" s="532"/>
      <c r="L351" s="533" t="s">
        <v>132</v>
      </c>
      <c r="M351" s="535" t="s">
        <v>133</v>
      </c>
      <c r="N351" s="514" t="s">
        <v>2</v>
      </c>
      <c r="O351" s="515"/>
      <c r="P351" s="515"/>
      <c r="Q351" s="515"/>
      <c r="R351" s="515"/>
      <c r="S351" s="516"/>
      <c r="T351" s="295"/>
      <c r="U351" s="296"/>
      <c r="V351" s="297"/>
    </row>
    <row r="352" spans="1:22" s="1" customFormat="1" ht="33.75" thickBot="1" x14ac:dyDescent="0.25">
      <c r="A352" s="212"/>
      <c r="B352" s="268" t="s">
        <v>6</v>
      </c>
      <c r="C352" s="173" t="s">
        <v>144</v>
      </c>
      <c r="D352" s="173" t="s">
        <v>139</v>
      </c>
      <c r="E352" s="173" t="s">
        <v>145</v>
      </c>
      <c r="F352" s="174" t="s">
        <v>140</v>
      </c>
      <c r="G352" s="200" t="s">
        <v>9</v>
      </c>
      <c r="H352" s="173" t="s">
        <v>136</v>
      </c>
      <c r="I352" s="173" t="s">
        <v>135</v>
      </c>
      <c r="J352" s="173" t="s">
        <v>134</v>
      </c>
      <c r="K352" s="173" t="s">
        <v>137</v>
      </c>
      <c r="L352" s="534"/>
      <c r="M352" s="536"/>
      <c r="N352" s="268" t="s">
        <v>10</v>
      </c>
      <c r="O352" s="173" t="s">
        <v>11</v>
      </c>
      <c r="P352" s="173" t="s">
        <v>120</v>
      </c>
      <c r="Q352" s="173" t="s">
        <v>122</v>
      </c>
      <c r="R352" s="173" t="s">
        <v>121</v>
      </c>
      <c r="S352" s="174" t="s">
        <v>116</v>
      </c>
      <c r="T352" s="283" t="s">
        <v>141</v>
      </c>
      <c r="U352" s="173" t="s">
        <v>143</v>
      </c>
      <c r="V352" s="174" t="s">
        <v>142</v>
      </c>
    </row>
    <row r="353" spans="1:23" s="1" customFormat="1" ht="16.5" x14ac:dyDescent="0.2">
      <c r="A353" s="213"/>
      <c r="B353" s="269"/>
      <c r="C353" s="214"/>
      <c r="D353" s="214"/>
      <c r="E353" s="214"/>
      <c r="F353" s="215"/>
      <c r="G353" s="231"/>
      <c r="H353" s="217"/>
      <c r="I353" s="214"/>
      <c r="J353" s="214"/>
      <c r="K353" s="214"/>
      <c r="L353" s="269"/>
      <c r="M353" s="215"/>
      <c r="N353" s="269"/>
      <c r="O353" s="284"/>
      <c r="P353" s="284"/>
      <c r="Q353" s="214"/>
      <c r="R353" s="214"/>
      <c r="S353" s="215"/>
      <c r="T353" s="214"/>
      <c r="U353" s="214"/>
      <c r="V353" s="215"/>
    </row>
    <row r="354" spans="1:23" s="1" customFormat="1" ht="16.5" x14ac:dyDescent="0.25">
      <c r="A354" s="450" t="s">
        <v>257</v>
      </c>
      <c r="B354" s="251" t="s">
        <v>26</v>
      </c>
      <c r="C354" s="166">
        <f>'RETRIBUCIONES 2025'!$G$4</f>
        <v>656.23</v>
      </c>
      <c r="D354" s="166">
        <f>C354*12</f>
        <v>7874.76</v>
      </c>
      <c r="E354" s="166">
        <v>0</v>
      </c>
      <c r="F354" s="177">
        <f>E354*12</f>
        <v>0</v>
      </c>
      <c r="G354" s="165">
        <v>14</v>
      </c>
      <c r="H354" s="166">
        <f>'RETRIBUCIONES 2025'!$G$14</f>
        <v>364.97</v>
      </c>
      <c r="I354" s="166">
        <f>H354*12</f>
        <v>4379.6400000000003</v>
      </c>
      <c r="J354" s="166">
        <v>398.58</v>
      </c>
      <c r="K354" s="285">
        <f>J354*12</f>
        <v>4782.96</v>
      </c>
      <c r="L354" s="205">
        <f>C354+E354+H354+J354</f>
        <v>1419.78</v>
      </c>
      <c r="M354" s="281">
        <f>D354+F354+I354+K354</f>
        <v>17037.36</v>
      </c>
      <c r="N354" s="219">
        <f>'RETRIBUCIONES 2025'!$G$9</f>
        <v>656.23</v>
      </c>
      <c r="O354" s="285">
        <v>0</v>
      </c>
      <c r="P354" s="285">
        <f>SUM(N354:O354)</f>
        <v>656.23</v>
      </c>
      <c r="Q354" s="285">
        <f>H354</f>
        <v>364.97</v>
      </c>
      <c r="R354" s="285">
        <f>J354</f>
        <v>398.58</v>
      </c>
      <c r="S354" s="281">
        <f>SUM(P354:R354)</f>
        <v>1419.78</v>
      </c>
      <c r="T354" s="285">
        <f>M354+S354*2</f>
        <v>19876.920000000002</v>
      </c>
      <c r="U354" s="285">
        <f>T354*0.33</f>
        <v>6559.383600000001</v>
      </c>
      <c r="V354" s="281">
        <f>SUM(T354:U354)</f>
        <v>26436.303600000003</v>
      </c>
    </row>
    <row r="355" spans="1:23" s="1" customFormat="1" ht="16.5" x14ac:dyDescent="0.25">
      <c r="A355" s="454"/>
      <c r="B355" s="251"/>
      <c r="C355" s="166"/>
      <c r="D355" s="166"/>
      <c r="E355" s="166"/>
      <c r="F355" s="177"/>
      <c r="G355" s="165"/>
      <c r="H355" s="166"/>
      <c r="I355" s="166"/>
      <c r="J355" s="166"/>
      <c r="K355" s="285"/>
      <c r="L355" s="205"/>
      <c r="M355" s="281"/>
      <c r="N355" s="219"/>
      <c r="O355" s="285"/>
      <c r="P355" s="285"/>
      <c r="Q355" s="285"/>
      <c r="R355" s="285"/>
      <c r="S355" s="281"/>
      <c r="T355" s="285"/>
      <c r="U355" s="285"/>
      <c r="V355" s="281"/>
    </row>
    <row r="356" spans="1:23" s="33" customFormat="1" ht="20.100000000000001" customHeight="1" x14ac:dyDescent="0.25">
      <c r="A356" s="469" t="s">
        <v>78</v>
      </c>
      <c r="B356" s="286"/>
      <c r="C356" s="270">
        <f>SUM(C354:C355)</f>
        <v>656.23</v>
      </c>
      <c r="D356" s="270">
        <f t="shared" ref="D356:V356" si="116">SUM(D354:D355)</f>
        <v>7874.76</v>
      </c>
      <c r="E356" s="270">
        <f t="shared" si="116"/>
        <v>0</v>
      </c>
      <c r="F356" s="271">
        <f t="shared" si="116"/>
        <v>0</v>
      </c>
      <c r="G356" s="270"/>
      <c r="H356" s="270">
        <f t="shared" si="116"/>
        <v>364.97</v>
      </c>
      <c r="I356" s="270">
        <f t="shared" si="116"/>
        <v>4379.6400000000003</v>
      </c>
      <c r="J356" s="270">
        <f t="shared" si="116"/>
        <v>398.58</v>
      </c>
      <c r="K356" s="270">
        <f t="shared" si="116"/>
        <v>4782.96</v>
      </c>
      <c r="L356" s="272">
        <f t="shared" si="116"/>
        <v>1419.78</v>
      </c>
      <c r="M356" s="271">
        <f t="shared" si="116"/>
        <v>17037.36</v>
      </c>
      <c r="N356" s="272">
        <f t="shared" si="116"/>
        <v>656.23</v>
      </c>
      <c r="O356" s="270">
        <f t="shared" si="116"/>
        <v>0</v>
      </c>
      <c r="P356" s="270">
        <f t="shared" si="116"/>
        <v>656.23</v>
      </c>
      <c r="Q356" s="270">
        <f t="shared" si="116"/>
        <v>364.97</v>
      </c>
      <c r="R356" s="270">
        <f t="shared" si="116"/>
        <v>398.58</v>
      </c>
      <c r="S356" s="271">
        <f t="shared" si="116"/>
        <v>1419.78</v>
      </c>
      <c r="T356" s="270">
        <f t="shared" si="116"/>
        <v>19876.920000000002</v>
      </c>
      <c r="U356" s="270">
        <f t="shared" si="116"/>
        <v>6559.383600000001</v>
      </c>
      <c r="V356" s="271">
        <f t="shared" si="116"/>
        <v>26436.303600000003</v>
      </c>
    </row>
    <row r="357" spans="1:23" s="1" customFormat="1" ht="17.25" thickBot="1" x14ac:dyDescent="0.3">
      <c r="A357" s="457"/>
      <c r="B357" s="299"/>
      <c r="C357" s="274"/>
      <c r="D357" s="274"/>
      <c r="E357" s="274"/>
      <c r="F357" s="275"/>
      <c r="G357" s="300"/>
      <c r="H357" s="277"/>
      <c r="I357" s="274"/>
      <c r="J357" s="274"/>
      <c r="K357" s="274"/>
      <c r="L357" s="278"/>
      <c r="M357" s="301"/>
      <c r="N357" s="298"/>
      <c r="O357" s="290"/>
      <c r="P357" s="290"/>
      <c r="Q357" s="290"/>
      <c r="R357" s="290"/>
      <c r="S357" s="301"/>
      <c r="T357" s="292" t="s">
        <v>181</v>
      </c>
      <c r="U357" s="292" t="s">
        <v>182</v>
      </c>
      <c r="V357" s="301"/>
    </row>
    <row r="358" spans="1:23" s="1" customFormat="1" ht="17.25" thickBot="1" x14ac:dyDescent="0.3">
      <c r="A358" s="454"/>
      <c r="B358" s="293"/>
      <c r="C358" s="166"/>
      <c r="D358" s="166"/>
      <c r="E358" s="166"/>
      <c r="F358" s="166"/>
      <c r="G358" s="164"/>
      <c r="H358" s="165"/>
      <c r="I358" s="166"/>
      <c r="J358" s="166"/>
      <c r="K358" s="166"/>
      <c r="L358" s="166"/>
      <c r="M358" s="285"/>
      <c r="N358" s="285"/>
      <c r="O358" s="294"/>
      <c r="P358" s="294"/>
      <c r="Q358" s="285"/>
      <c r="R358" s="285"/>
      <c r="S358" s="285"/>
      <c r="T358" s="285"/>
      <c r="U358" s="285"/>
      <c r="V358" s="281"/>
    </row>
    <row r="359" spans="1:23" s="1" customFormat="1" ht="16.5" x14ac:dyDescent="0.25">
      <c r="A359" s="543" t="s">
        <v>37</v>
      </c>
      <c r="B359" s="544"/>
      <c r="C359" s="544"/>
      <c r="D359" s="544"/>
      <c r="E359" s="544"/>
      <c r="F359" s="544"/>
      <c r="G359" s="544"/>
      <c r="H359" s="544"/>
      <c r="I359" s="544"/>
      <c r="J359" s="544"/>
      <c r="K359" s="544"/>
      <c r="L359" s="544"/>
      <c r="M359" s="544"/>
      <c r="N359" s="544"/>
      <c r="O359" s="544"/>
      <c r="P359" s="544"/>
      <c r="Q359" s="544"/>
      <c r="R359" s="544"/>
      <c r="S359" s="544"/>
      <c r="T359" s="544"/>
      <c r="U359" s="544"/>
      <c r="V359" s="545"/>
    </row>
    <row r="360" spans="1:23" s="1" customFormat="1" ht="17.25" thickBot="1" x14ac:dyDescent="0.25">
      <c r="A360" s="540">
        <v>3232</v>
      </c>
      <c r="B360" s="541"/>
      <c r="C360" s="541"/>
      <c r="D360" s="541"/>
      <c r="E360" s="541"/>
      <c r="F360" s="541"/>
      <c r="G360" s="541"/>
      <c r="H360" s="541"/>
      <c r="I360" s="541"/>
      <c r="J360" s="541"/>
      <c r="K360" s="541"/>
      <c r="L360" s="541"/>
      <c r="M360" s="541"/>
      <c r="N360" s="541"/>
      <c r="O360" s="541"/>
      <c r="P360" s="541"/>
      <c r="Q360" s="541"/>
      <c r="R360" s="541"/>
      <c r="S360" s="541"/>
      <c r="T360" s="541"/>
      <c r="U360" s="541"/>
      <c r="V360" s="542"/>
    </row>
    <row r="361" spans="1:23" s="1" customFormat="1" ht="16.5" x14ac:dyDescent="0.25">
      <c r="A361" s="452"/>
      <c r="B361" s="529" t="s">
        <v>123</v>
      </c>
      <c r="C361" s="530"/>
      <c r="D361" s="530"/>
      <c r="E361" s="530"/>
      <c r="F361" s="531"/>
      <c r="G361" s="549" t="s">
        <v>124</v>
      </c>
      <c r="H361" s="532"/>
      <c r="I361" s="532"/>
      <c r="J361" s="532"/>
      <c r="K361" s="550"/>
      <c r="L361" s="533" t="s">
        <v>132</v>
      </c>
      <c r="M361" s="535" t="s">
        <v>133</v>
      </c>
      <c r="N361" s="515" t="s">
        <v>2</v>
      </c>
      <c r="O361" s="515"/>
      <c r="P361" s="515"/>
      <c r="Q361" s="515"/>
      <c r="R361" s="515"/>
      <c r="S361" s="515"/>
      <c r="T361" s="302"/>
      <c r="U361" s="296"/>
      <c r="V361" s="297"/>
      <c r="W361" s="4"/>
    </row>
    <row r="362" spans="1:23" s="1" customFormat="1" ht="33.75" thickBot="1" x14ac:dyDescent="0.25">
      <c r="A362" s="212"/>
      <c r="B362" s="268" t="s">
        <v>6</v>
      </c>
      <c r="C362" s="173" t="s">
        <v>144</v>
      </c>
      <c r="D362" s="173" t="s">
        <v>139</v>
      </c>
      <c r="E362" s="173" t="s">
        <v>145</v>
      </c>
      <c r="F362" s="174" t="s">
        <v>140</v>
      </c>
      <c r="G362" s="175" t="s">
        <v>9</v>
      </c>
      <c r="H362" s="173" t="s">
        <v>136</v>
      </c>
      <c r="I362" s="173" t="s">
        <v>135</v>
      </c>
      <c r="J362" s="173" t="s">
        <v>134</v>
      </c>
      <c r="K362" s="174" t="s">
        <v>137</v>
      </c>
      <c r="L362" s="534"/>
      <c r="M362" s="536"/>
      <c r="N362" s="173" t="s">
        <v>10</v>
      </c>
      <c r="O362" s="173" t="s">
        <v>11</v>
      </c>
      <c r="P362" s="173" t="s">
        <v>120</v>
      </c>
      <c r="Q362" s="173" t="s">
        <v>122</v>
      </c>
      <c r="R362" s="173" t="s">
        <v>121</v>
      </c>
      <c r="S362" s="173" t="s">
        <v>116</v>
      </c>
      <c r="T362" s="303" t="s">
        <v>141</v>
      </c>
      <c r="U362" s="173" t="s">
        <v>143</v>
      </c>
      <c r="V362" s="174" t="s">
        <v>142</v>
      </c>
      <c r="W362" s="4"/>
    </row>
    <row r="363" spans="1:23" s="1" customFormat="1" ht="15" customHeight="1" x14ac:dyDescent="0.2">
      <c r="A363" s="213"/>
      <c r="B363" s="269"/>
      <c r="C363" s="214"/>
      <c r="D363" s="214"/>
      <c r="E363" s="214"/>
      <c r="F363" s="215"/>
      <c r="G363" s="216"/>
      <c r="H363" s="217"/>
      <c r="I363" s="214"/>
      <c r="J363" s="214"/>
      <c r="K363" s="215"/>
      <c r="L363" s="269"/>
      <c r="M363" s="215"/>
      <c r="N363" s="214"/>
      <c r="O363" s="284"/>
      <c r="P363" s="284"/>
      <c r="Q363" s="214"/>
      <c r="R363" s="214"/>
      <c r="S363" s="214"/>
      <c r="T363" s="269"/>
      <c r="U363" s="214"/>
      <c r="V363" s="215"/>
      <c r="W363" s="4"/>
    </row>
    <row r="364" spans="1:23" s="1" customFormat="1" ht="16.5" x14ac:dyDescent="0.25">
      <c r="A364" s="454" t="s">
        <v>257</v>
      </c>
      <c r="B364" s="251" t="s">
        <v>26</v>
      </c>
      <c r="C364" s="166">
        <f>'RETRIBUCIONES 2025'!$G$4</f>
        <v>656.23</v>
      </c>
      <c r="D364" s="166">
        <f>C364*12</f>
        <v>7874.76</v>
      </c>
      <c r="E364" s="166">
        <f>'RETRIBUCIONES 2025'!$G$5*3</f>
        <v>48.480000000000004</v>
      </c>
      <c r="F364" s="177">
        <f>E364*12</f>
        <v>581.76</v>
      </c>
      <c r="G364" s="220" t="s">
        <v>68</v>
      </c>
      <c r="H364" s="166">
        <f>'RETRIBUCIONES 2025'!$G$14</f>
        <v>364.97</v>
      </c>
      <c r="I364" s="166">
        <f>H364*12</f>
        <v>4379.6400000000003</v>
      </c>
      <c r="J364" s="166">
        <v>398.58</v>
      </c>
      <c r="K364" s="281">
        <f>J364*12</f>
        <v>4782.96</v>
      </c>
      <c r="L364" s="205">
        <f>C364+E364+H364+J364</f>
        <v>1468.26</v>
      </c>
      <c r="M364" s="281">
        <f>D364+F364+I364+K364</f>
        <v>17619.12</v>
      </c>
      <c r="N364" s="285">
        <f>'RETRIBUCIONES 2025'!$G$9</f>
        <v>656.23</v>
      </c>
      <c r="O364" s="285">
        <f>'RETRIBUCIONES 2025'!$G$10*3</f>
        <v>48.480000000000004</v>
      </c>
      <c r="P364" s="285">
        <f>SUM(N364:O364)</f>
        <v>704.71</v>
      </c>
      <c r="Q364" s="285">
        <f>H364</f>
        <v>364.97</v>
      </c>
      <c r="R364" s="285">
        <f>J364</f>
        <v>398.58</v>
      </c>
      <c r="S364" s="285">
        <f>SUM(P364:R364)</f>
        <v>1468.26</v>
      </c>
      <c r="T364" s="219">
        <f>M364+S364*2</f>
        <v>20555.64</v>
      </c>
      <c r="U364" s="285">
        <f>T364*0.33</f>
        <v>6783.3612000000003</v>
      </c>
      <c r="V364" s="281">
        <f>SUM(T364:U364)</f>
        <v>27339.001199999999</v>
      </c>
    </row>
    <row r="365" spans="1:23" s="4" customFormat="1" ht="16.5" x14ac:dyDescent="0.25">
      <c r="A365" s="454"/>
      <c r="B365" s="251"/>
      <c r="C365" s="166"/>
      <c r="D365" s="166"/>
      <c r="E365" s="166"/>
      <c r="F365" s="177"/>
      <c r="G365" s="220"/>
      <c r="H365" s="166"/>
      <c r="I365" s="166"/>
      <c r="J365" s="166"/>
      <c r="K365" s="304"/>
      <c r="L365" s="205"/>
      <c r="M365" s="281"/>
      <c r="N365" s="285"/>
      <c r="O365" s="285"/>
      <c r="P365" s="285"/>
      <c r="Q365" s="294"/>
      <c r="R365" s="294"/>
      <c r="S365" s="294"/>
      <c r="T365" s="219"/>
      <c r="U365" s="285"/>
      <c r="V365" s="281"/>
      <c r="W365" s="1"/>
    </row>
    <row r="366" spans="1:23" s="33" customFormat="1" ht="20.100000000000001" customHeight="1" x14ac:dyDescent="0.25">
      <c r="A366" s="469" t="s">
        <v>80</v>
      </c>
      <c r="B366" s="286"/>
      <c r="C366" s="270">
        <f>SUM(C364:C365)</f>
        <v>656.23</v>
      </c>
      <c r="D366" s="270">
        <f t="shared" ref="D366:V366" si="117">SUM(D364:D365)</f>
        <v>7874.76</v>
      </c>
      <c r="E366" s="270">
        <f t="shared" si="117"/>
        <v>48.480000000000004</v>
      </c>
      <c r="F366" s="271">
        <f t="shared" si="117"/>
        <v>581.76</v>
      </c>
      <c r="G366" s="272"/>
      <c r="H366" s="270">
        <f t="shared" si="117"/>
        <v>364.97</v>
      </c>
      <c r="I366" s="270">
        <f t="shared" si="117"/>
        <v>4379.6400000000003</v>
      </c>
      <c r="J366" s="270">
        <f t="shared" si="117"/>
        <v>398.58</v>
      </c>
      <c r="K366" s="271">
        <f t="shared" si="117"/>
        <v>4782.96</v>
      </c>
      <c r="L366" s="272">
        <f t="shared" si="117"/>
        <v>1468.26</v>
      </c>
      <c r="M366" s="271">
        <f t="shared" si="117"/>
        <v>17619.12</v>
      </c>
      <c r="N366" s="270">
        <f t="shared" si="117"/>
        <v>656.23</v>
      </c>
      <c r="O366" s="270">
        <f t="shared" si="117"/>
        <v>48.480000000000004</v>
      </c>
      <c r="P366" s="270">
        <f t="shared" si="117"/>
        <v>704.71</v>
      </c>
      <c r="Q366" s="270">
        <f t="shared" si="117"/>
        <v>364.97</v>
      </c>
      <c r="R366" s="270">
        <f t="shared" si="117"/>
        <v>398.58</v>
      </c>
      <c r="S366" s="270">
        <f t="shared" si="117"/>
        <v>1468.26</v>
      </c>
      <c r="T366" s="272">
        <f t="shared" si="117"/>
        <v>20555.64</v>
      </c>
      <c r="U366" s="270">
        <f t="shared" si="117"/>
        <v>6783.3612000000003</v>
      </c>
      <c r="V366" s="271">
        <f t="shared" si="117"/>
        <v>27339.001199999999</v>
      </c>
    </row>
    <row r="367" spans="1:23" s="1" customFormat="1" ht="17.25" thickBot="1" x14ac:dyDescent="0.3">
      <c r="A367" s="459"/>
      <c r="B367" s="288"/>
      <c r="C367" s="226"/>
      <c r="D367" s="226"/>
      <c r="E367" s="226"/>
      <c r="F367" s="227"/>
      <c r="G367" s="228"/>
      <c r="H367" s="229"/>
      <c r="I367" s="226"/>
      <c r="J367" s="226"/>
      <c r="K367" s="227"/>
      <c r="L367" s="273"/>
      <c r="M367" s="289"/>
      <c r="N367" s="291"/>
      <c r="O367" s="290"/>
      <c r="P367" s="290"/>
      <c r="Q367" s="291"/>
      <c r="R367" s="291"/>
      <c r="S367" s="291"/>
      <c r="T367" s="299" t="s">
        <v>183</v>
      </c>
      <c r="U367" s="292" t="s">
        <v>184</v>
      </c>
      <c r="V367" s="289"/>
    </row>
    <row r="368" spans="1:23" s="1" customFormat="1" ht="17.25" thickBot="1" x14ac:dyDescent="0.3">
      <c r="A368" s="453"/>
      <c r="B368" s="293"/>
      <c r="C368" s="166"/>
      <c r="D368" s="166"/>
      <c r="E368" s="166"/>
      <c r="F368" s="188"/>
      <c r="G368" s="210"/>
      <c r="H368" s="165"/>
      <c r="I368" s="166"/>
      <c r="J368" s="166"/>
      <c r="K368" s="166"/>
      <c r="L368" s="166"/>
      <c r="M368" s="294"/>
      <c r="N368" s="294"/>
      <c r="O368" s="294"/>
      <c r="P368" s="294"/>
      <c r="Q368" s="294"/>
      <c r="R368" s="294"/>
      <c r="S368" s="294"/>
      <c r="T368" s="294"/>
      <c r="U368" s="294"/>
      <c r="V368" s="304"/>
    </row>
    <row r="369" spans="1:22" s="1" customFormat="1" ht="16.5" x14ac:dyDescent="0.25">
      <c r="A369" s="543" t="s">
        <v>38</v>
      </c>
      <c r="B369" s="544"/>
      <c r="C369" s="544"/>
      <c r="D369" s="544"/>
      <c r="E369" s="544"/>
      <c r="F369" s="544"/>
      <c r="G369" s="544"/>
      <c r="H369" s="544"/>
      <c r="I369" s="544"/>
      <c r="J369" s="544"/>
      <c r="K369" s="544"/>
      <c r="L369" s="544"/>
      <c r="M369" s="544"/>
      <c r="N369" s="544"/>
      <c r="O369" s="544"/>
      <c r="P369" s="544"/>
      <c r="Q369" s="544"/>
      <c r="R369" s="544"/>
      <c r="S369" s="544"/>
      <c r="T369" s="544"/>
      <c r="U369" s="544"/>
      <c r="V369" s="545"/>
    </row>
    <row r="370" spans="1:22" s="1" customFormat="1" ht="17.25" thickBot="1" x14ac:dyDescent="0.25">
      <c r="A370" s="540">
        <v>3234</v>
      </c>
      <c r="B370" s="541"/>
      <c r="C370" s="541"/>
      <c r="D370" s="541"/>
      <c r="E370" s="541"/>
      <c r="F370" s="541"/>
      <c r="G370" s="541"/>
      <c r="H370" s="541"/>
      <c r="I370" s="541"/>
      <c r="J370" s="541"/>
      <c r="K370" s="541"/>
      <c r="L370" s="541"/>
      <c r="M370" s="541"/>
      <c r="N370" s="541"/>
      <c r="O370" s="541"/>
      <c r="P370" s="541"/>
      <c r="Q370" s="541"/>
      <c r="R370" s="541"/>
      <c r="S370" s="541"/>
      <c r="T370" s="541"/>
      <c r="U370" s="541"/>
      <c r="V370" s="542"/>
    </row>
    <row r="371" spans="1:22" s="1" customFormat="1" ht="16.5" x14ac:dyDescent="0.25">
      <c r="A371" s="452"/>
      <c r="B371" s="529" t="s">
        <v>123</v>
      </c>
      <c r="C371" s="530"/>
      <c r="D371" s="530"/>
      <c r="E371" s="530"/>
      <c r="F371" s="530"/>
      <c r="G371" s="549" t="s">
        <v>124</v>
      </c>
      <c r="H371" s="532"/>
      <c r="I371" s="532"/>
      <c r="J371" s="532"/>
      <c r="K371" s="550"/>
      <c r="L371" s="517" t="s">
        <v>132</v>
      </c>
      <c r="M371" s="517" t="s">
        <v>133</v>
      </c>
      <c r="N371" s="514" t="s">
        <v>2</v>
      </c>
      <c r="O371" s="515"/>
      <c r="P371" s="515"/>
      <c r="Q371" s="515"/>
      <c r="R371" s="515"/>
      <c r="S371" s="516"/>
      <c r="T371" s="295"/>
      <c r="U371" s="296"/>
      <c r="V371" s="297"/>
    </row>
    <row r="372" spans="1:22" s="1" customFormat="1" ht="33.75" thickBot="1" x14ac:dyDescent="0.25">
      <c r="A372" s="212"/>
      <c r="B372" s="268" t="s">
        <v>6</v>
      </c>
      <c r="C372" s="173" t="s">
        <v>144</v>
      </c>
      <c r="D372" s="173" t="s">
        <v>139</v>
      </c>
      <c r="E372" s="173" t="s">
        <v>145</v>
      </c>
      <c r="F372" s="173" t="s">
        <v>140</v>
      </c>
      <c r="G372" s="175" t="s">
        <v>9</v>
      </c>
      <c r="H372" s="173" t="s">
        <v>136</v>
      </c>
      <c r="I372" s="173" t="s">
        <v>135</v>
      </c>
      <c r="J372" s="173" t="s">
        <v>134</v>
      </c>
      <c r="K372" s="174" t="s">
        <v>137</v>
      </c>
      <c r="L372" s="518"/>
      <c r="M372" s="518"/>
      <c r="N372" s="268" t="s">
        <v>10</v>
      </c>
      <c r="O372" s="173" t="s">
        <v>11</v>
      </c>
      <c r="P372" s="173" t="s">
        <v>120</v>
      </c>
      <c r="Q372" s="173" t="s">
        <v>122</v>
      </c>
      <c r="R372" s="173" t="s">
        <v>121</v>
      </c>
      <c r="S372" s="174" t="s">
        <v>116</v>
      </c>
      <c r="T372" s="283" t="s">
        <v>141</v>
      </c>
      <c r="U372" s="173" t="s">
        <v>143</v>
      </c>
      <c r="V372" s="174" t="s">
        <v>142</v>
      </c>
    </row>
    <row r="373" spans="1:22" s="1" customFormat="1" ht="16.5" x14ac:dyDescent="0.2">
      <c r="A373" s="213"/>
      <c r="B373" s="269"/>
      <c r="C373" s="214"/>
      <c r="D373" s="214"/>
      <c r="E373" s="214"/>
      <c r="F373" s="214"/>
      <c r="G373" s="216"/>
      <c r="H373" s="217"/>
      <c r="I373" s="214"/>
      <c r="J373" s="214"/>
      <c r="K373" s="215"/>
      <c r="L373" s="214"/>
      <c r="M373" s="214"/>
      <c r="N373" s="269"/>
      <c r="O373" s="284"/>
      <c r="P373" s="284"/>
      <c r="Q373" s="214"/>
      <c r="R373" s="214"/>
      <c r="S373" s="215"/>
      <c r="T373" s="214"/>
      <c r="U373" s="214"/>
      <c r="V373" s="215"/>
    </row>
    <row r="374" spans="1:22" s="1" customFormat="1" ht="16.5" x14ac:dyDescent="0.25">
      <c r="A374" s="450" t="s">
        <v>258</v>
      </c>
      <c r="B374" s="251" t="s">
        <v>13</v>
      </c>
      <c r="C374" s="166">
        <f>'RETRIBUCIONES 2025'!$C$4</f>
        <v>1147.3499999999999</v>
      </c>
      <c r="D374" s="166">
        <f>C374*12</f>
        <v>13768.199999999999</v>
      </c>
      <c r="E374" s="166">
        <f>'RETRIBUCIONES 2025'!$C$5*12</f>
        <v>499.79999999999995</v>
      </c>
      <c r="F374" s="166">
        <f>E374*12</f>
        <v>5997.5999999999995</v>
      </c>
      <c r="G374" s="220">
        <v>22</v>
      </c>
      <c r="H374" s="166">
        <f>'RETRIBUCIONES 2025'!O14</f>
        <v>610</v>
      </c>
      <c r="I374" s="166">
        <f>H374*12</f>
        <v>7320</v>
      </c>
      <c r="J374" s="166">
        <v>1220.44</v>
      </c>
      <c r="K374" s="281">
        <f>J374*12</f>
        <v>14645.28</v>
      </c>
      <c r="L374" s="166">
        <f>C374+E374+H374+J374</f>
        <v>3477.5899999999997</v>
      </c>
      <c r="M374" s="285">
        <f>D374+F374+I374+K374</f>
        <v>41731.08</v>
      </c>
      <c r="N374" s="219">
        <f>'RETRIBUCIONES 2025'!$C$9</f>
        <v>836.78</v>
      </c>
      <c r="O374" s="166">
        <f>'RETRIBUCIONES 2025'!$C$10*12</f>
        <v>364.44</v>
      </c>
      <c r="P374" s="285">
        <f>SUM(N374:O374)</f>
        <v>1201.22</v>
      </c>
      <c r="Q374" s="285">
        <f>H374</f>
        <v>610</v>
      </c>
      <c r="R374" s="285">
        <f>J374</f>
        <v>1220.44</v>
      </c>
      <c r="S374" s="281">
        <f>SUM(P374:R374)</f>
        <v>3031.66</v>
      </c>
      <c r="T374" s="285">
        <f>M374+S374*2</f>
        <v>47794.400000000001</v>
      </c>
      <c r="U374" s="285">
        <f>T374*0.33</f>
        <v>15772.152000000002</v>
      </c>
      <c r="V374" s="281">
        <f>SUM(T374:U374)</f>
        <v>63566.552000000003</v>
      </c>
    </row>
    <row r="375" spans="1:22" s="1" customFormat="1" ht="16.5" x14ac:dyDescent="0.25">
      <c r="A375" s="454"/>
      <c r="B375" s="251"/>
      <c r="C375" s="166"/>
      <c r="D375" s="166"/>
      <c r="E375" s="166"/>
      <c r="F375" s="166"/>
      <c r="G375" s="220"/>
      <c r="H375" s="166"/>
      <c r="I375" s="166"/>
      <c r="J375" s="166"/>
      <c r="K375" s="281"/>
      <c r="L375" s="166"/>
      <c r="M375" s="285"/>
      <c r="N375" s="219"/>
      <c r="O375" s="285"/>
      <c r="P375" s="285"/>
      <c r="Q375" s="285"/>
      <c r="R375" s="285"/>
      <c r="S375" s="281"/>
      <c r="T375" s="285"/>
      <c r="U375" s="285"/>
      <c r="V375" s="281"/>
    </row>
    <row r="376" spans="1:22" s="4" customFormat="1" ht="16.5" x14ac:dyDescent="0.25">
      <c r="A376" s="455" t="s">
        <v>19</v>
      </c>
      <c r="B376" s="255"/>
      <c r="C376" s="183">
        <f>SUM(C374)</f>
        <v>1147.3499999999999</v>
      </c>
      <c r="D376" s="183">
        <f t="shared" ref="D376:V376" si="118">SUM(D374)</f>
        <v>13768.199999999999</v>
      </c>
      <c r="E376" s="183">
        <f t="shared" si="118"/>
        <v>499.79999999999995</v>
      </c>
      <c r="F376" s="183">
        <f t="shared" si="118"/>
        <v>5997.5999999999995</v>
      </c>
      <c r="G376" s="187"/>
      <c r="H376" s="183">
        <f t="shared" si="118"/>
        <v>610</v>
      </c>
      <c r="I376" s="183">
        <f t="shared" si="118"/>
        <v>7320</v>
      </c>
      <c r="J376" s="183">
        <f t="shared" si="118"/>
        <v>1220.44</v>
      </c>
      <c r="K376" s="232">
        <f t="shared" si="118"/>
        <v>14645.28</v>
      </c>
      <c r="L376" s="183">
        <f t="shared" si="118"/>
        <v>3477.5899999999997</v>
      </c>
      <c r="M376" s="183">
        <f t="shared" si="118"/>
        <v>41731.08</v>
      </c>
      <c r="N376" s="187">
        <f t="shared" si="118"/>
        <v>836.78</v>
      </c>
      <c r="O376" s="183">
        <f t="shared" si="118"/>
        <v>364.44</v>
      </c>
      <c r="P376" s="183">
        <f t="shared" si="118"/>
        <v>1201.22</v>
      </c>
      <c r="Q376" s="183">
        <f t="shared" si="118"/>
        <v>610</v>
      </c>
      <c r="R376" s="183">
        <f t="shared" si="118"/>
        <v>1220.44</v>
      </c>
      <c r="S376" s="232">
        <f t="shared" si="118"/>
        <v>3031.66</v>
      </c>
      <c r="T376" s="183">
        <f t="shared" si="118"/>
        <v>47794.400000000001</v>
      </c>
      <c r="U376" s="183">
        <f t="shared" si="118"/>
        <v>15772.152000000002</v>
      </c>
      <c r="V376" s="232">
        <f t="shared" si="118"/>
        <v>63566.552000000003</v>
      </c>
    </row>
    <row r="377" spans="1:22" s="1" customFormat="1" ht="16.5" x14ac:dyDescent="0.25">
      <c r="A377" s="454"/>
      <c r="B377" s="251"/>
      <c r="C377" s="166"/>
      <c r="D377" s="166"/>
      <c r="E377" s="166"/>
      <c r="F377" s="166"/>
      <c r="G377" s="220"/>
      <c r="H377" s="166"/>
      <c r="I377" s="166"/>
      <c r="J377" s="166"/>
      <c r="K377" s="281"/>
      <c r="L377" s="166"/>
      <c r="M377" s="285"/>
      <c r="N377" s="219"/>
      <c r="O377" s="285"/>
      <c r="P377" s="285"/>
      <c r="Q377" s="285"/>
      <c r="R377" s="285"/>
      <c r="S377" s="281"/>
      <c r="T377" s="285"/>
      <c r="U377" s="285"/>
      <c r="V377" s="281"/>
    </row>
    <row r="378" spans="1:22" s="1" customFormat="1" ht="16.5" x14ac:dyDescent="0.25">
      <c r="A378" s="450" t="s">
        <v>259</v>
      </c>
      <c r="B378" s="251" t="s">
        <v>15</v>
      </c>
      <c r="C378" s="166">
        <f>'RETRIBUCIONES 2025'!$E$4</f>
        <v>861.46</v>
      </c>
      <c r="D378" s="166">
        <f t="shared" ref="D378:D392" si="119">C378*12</f>
        <v>10337.52</v>
      </c>
      <c r="E378" s="166">
        <f>'RETRIBUCIONES 2025'!$E$5*4</f>
        <v>126.12</v>
      </c>
      <c r="F378" s="166">
        <f t="shared" ref="F378:F392" si="120">E378*12</f>
        <v>1513.44</v>
      </c>
      <c r="G378" s="220">
        <v>17</v>
      </c>
      <c r="H378" s="166">
        <f>'RETRIBUCIONES 2025'!$J$14</f>
        <v>445.5</v>
      </c>
      <c r="I378" s="166">
        <f t="shared" ref="I378:I392" si="121">H378*12</f>
        <v>5346</v>
      </c>
      <c r="J378" s="166">
        <v>606.65</v>
      </c>
      <c r="K378" s="281">
        <f t="shared" ref="K378:K392" si="122">J378*12</f>
        <v>7279.7999999999993</v>
      </c>
      <c r="L378" s="166">
        <f t="shared" ref="L378:L392" si="123">C378+E378+H378+J378</f>
        <v>2039.73</v>
      </c>
      <c r="M378" s="285">
        <f t="shared" ref="M378:M392" si="124">D378+F378+I378+K378</f>
        <v>24476.76</v>
      </c>
      <c r="N378" s="219">
        <f>'RETRIBUCIONES 2025'!$E$9</f>
        <v>744.56</v>
      </c>
      <c r="O378" s="166">
        <f>'RETRIBUCIONES 2025'!$E$10*4</f>
        <v>108.84</v>
      </c>
      <c r="P378" s="285">
        <f>SUM(N378:O378)</f>
        <v>853.4</v>
      </c>
      <c r="Q378" s="285">
        <f t="shared" ref="Q378:Q392" si="125">H378</f>
        <v>445.5</v>
      </c>
      <c r="R378" s="285">
        <f t="shared" ref="R378:R392" si="126">J378</f>
        <v>606.65</v>
      </c>
      <c r="S378" s="281">
        <f t="shared" ref="S378:S392" si="127">SUM(P378:R378)</f>
        <v>1905.5500000000002</v>
      </c>
      <c r="T378" s="285">
        <f t="shared" ref="T378:T392" si="128">M378+S378*2</f>
        <v>28287.86</v>
      </c>
      <c r="U378" s="285">
        <f t="shared" ref="U378:U392" si="129">T378*0.33</f>
        <v>9334.9938000000002</v>
      </c>
      <c r="V378" s="281">
        <f t="shared" ref="V378:V392" si="130">SUM(T378:U378)</f>
        <v>37622.853799999997</v>
      </c>
    </row>
    <row r="379" spans="1:22" s="1" customFormat="1" ht="16.5" x14ac:dyDescent="0.25">
      <c r="A379" s="454"/>
      <c r="B379" s="251"/>
      <c r="C379" s="166"/>
      <c r="D379" s="166"/>
      <c r="E379" s="166"/>
      <c r="F379" s="166"/>
      <c r="G379" s="220"/>
      <c r="H379" s="166"/>
      <c r="I379" s="166"/>
      <c r="J379" s="166"/>
      <c r="K379" s="281"/>
      <c r="L379" s="166"/>
      <c r="M379" s="285"/>
      <c r="N379" s="219"/>
      <c r="O379" s="294"/>
      <c r="P379" s="294"/>
      <c r="Q379" s="285"/>
      <c r="R379" s="285"/>
      <c r="S379" s="281"/>
      <c r="T379" s="285"/>
      <c r="U379" s="285"/>
      <c r="V379" s="281"/>
    </row>
    <row r="380" spans="1:22" s="1" customFormat="1" ht="16.5" x14ac:dyDescent="0.25">
      <c r="A380" s="450" t="s">
        <v>259</v>
      </c>
      <c r="B380" s="251" t="s">
        <v>15</v>
      </c>
      <c r="C380" s="166">
        <f>'RETRIBUCIONES 2025'!$E$4</f>
        <v>861.46</v>
      </c>
      <c r="D380" s="166">
        <f t="shared" si="119"/>
        <v>10337.52</v>
      </c>
      <c r="E380" s="166">
        <f>'RETRIBUCIONES 2025'!E5</f>
        <v>31.53</v>
      </c>
      <c r="F380" s="166">
        <f t="shared" si="120"/>
        <v>378.36</v>
      </c>
      <c r="G380" s="220">
        <v>17</v>
      </c>
      <c r="H380" s="166">
        <f>'RETRIBUCIONES 2025'!$J$14</f>
        <v>445.5</v>
      </c>
      <c r="I380" s="166">
        <f t="shared" si="121"/>
        <v>5346</v>
      </c>
      <c r="J380" s="166">
        <v>606.65</v>
      </c>
      <c r="K380" s="281">
        <f t="shared" si="122"/>
        <v>7279.7999999999993</v>
      </c>
      <c r="L380" s="166">
        <f t="shared" si="123"/>
        <v>1945.1399999999999</v>
      </c>
      <c r="M380" s="285">
        <f t="shared" si="124"/>
        <v>23341.68</v>
      </c>
      <c r="N380" s="219">
        <f>'RETRIBUCIONES 2025'!$E$9</f>
        <v>744.56</v>
      </c>
      <c r="O380" s="285">
        <f>'RETRIBUCIONES 2025'!E10</f>
        <v>27.21</v>
      </c>
      <c r="P380" s="285">
        <f>SUM(N380:O380)</f>
        <v>771.77</v>
      </c>
      <c r="Q380" s="285">
        <f t="shared" si="125"/>
        <v>445.5</v>
      </c>
      <c r="R380" s="285">
        <f t="shared" si="126"/>
        <v>606.65</v>
      </c>
      <c r="S380" s="281">
        <f t="shared" si="127"/>
        <v>1823.92</v>
      </c>
      <c r="T380" s="285">
        <f t="shared" si="128"/>
        <v>26989.52</v>
      </c>
      <c r="U380" s="285">
        <f t="shared" si="129"/>
        <v>8906.5416000000005</v>
      </c>
      <c r="V380" s="281">
        <f t="shared" si="130"/>
        <v>35896.061600000001</v>
      </c>
    </row>
    <row r="381" spans="1:22" s="1" customFormat="1" ht="16.5" x14ac:dyDescent="0.25">
      <c r="A381" s="454"/>
      <c r="B381" s="251"/>
      <c r="C381" s="166"/>
      <c r="D381" s="166"/>
      <c r="E381" s="166"/>
      <c r="F381" s="166"/>
      <c r="G381" s="220"/>
      <c r="H381" s="166"/>
      <c r="I381" s="166"/>
      <c r="J381" s="166"/>
      <c r="K381" s="281"/>
      <c r="L381" s="166"/>
      <c r="M381" s="285"/>
      <c r="N381" s="219"/>
      <c r="O381" s="285"/>
      <c r="P381" s="285"/>
      <c r="Q381" s="285"/>
      <c r="R381" s="285"/>
      <c r="S381" s="281"/>
      <c r="T381" s="285"/>
      <c r="U381" s="285"/>
      <c r="V381" s="281"/>
    </row>
    <row r="382" spans="1:22" s="1" customFormat="1" ht="16.5" x14ac:dyDescent="0.25">
      <c r="A382" s="450" t="s">
        <v>259</v>
      </c>
      <c r="B382" s="251" t="s">
        <v>15</v>
      </c>
      <c r="C382" s="166">
        <f>'RETRIBUCIONES 2025'!$E$4</f>
        <v>861.46</v>
      </c>
      <c r="D382" s="166">
        <f t="shared" si="119"/>
        <v>10337.52</v>
      </c>
      <c r="E382" s="180">
        <f>'RETRIBUCIONES 2025'!$E$5*3</f>
        <v>94.59</v>
      </c>
      <c r="F382" s="166">
        <f t="shared" si="120"/>
        <v>1135.08</v>
      </c>
      <c r="G382" s="220">
        <v>17</v>
      </c>
      <c r="H382" s="166">
        <f>'RETRIBUCIONES 2025'!$J$14</f>
        <v>445.5</v>
      </c>
      <c r="I382" s="166">
        <f t="shared" si="121"/>
        <v>5346</v>
      </c>
      <c r="J382" s="166">
        <v>606.65</v>
      </c>
      <c r="K382" s="281">
        <f t="shared" si="122"/>
        <v>7279.7999999999993</v>
      </c>
      <c r="L382" s="166">
        <f t="shared" si="123"/>
        <v>2008.2000000000003</v>
      </c>
      <c r="M382" s="285">
        <f t="shared" si="124"/>
        <v>24098.399999999998</v>
      </c>
      <c r="N382" s="219">
        <f>'RETRIBUCIONES 2025'!$E$9</f>
        <v>744.56</v>
      </c>
      <c r="O382" s="180">
        <f>'RETRIBUCIONES 2025'!$E$10*3</f>
        <v>81.63</v>
      </c>
      <c r="P382" s="285">
        <f>SUM(N382:O382)</f>
        <v>826.18999999999994</v>
      </c>
      <c r="Q382" s="285">
        <f t="shared" si="125"/>
        <v>445.5</v>
      </c>
      <c r="R382" s="285">
        <f t="shared" si="126"/>
        <v>606.65</v>
      </c>
      <c r="S382" s="281">
        <f t="shared" si="127"/>
        <v>1878.3400000000001</v>
      </c>
      <c r="T382" s="285">
        <f t="shared" si="128"/>
        <v>27855.079999999998</v>
      </c>
      <c r="U382" s="285">
        <f t="shared" si="129"/>
        <v>9192.1764000000003</v>
      </c>
      <c r="V382" s="281">
        <f t="shared" si="130"/>
        <v>37047.256399999998</v>
      </c>
    </row>
    <row r="383" spans="1:22" s="1" customFormat="1" ht="16.5" x14ac:dyDescent="0.25">
      <c r="A383" s="454"/>
      <c r="B383" s="251"/>
      <c r="C383" s="166"/>
      <c r="D383" s="166"/>
      <c r="E383" s="166"/>
      <c r="F383" s="166"/>
      <c r="G383" s="220"/>
      <c r="H383" s="166"/>
      <c r="I383" s="166"/>
      <c r="J383" s="166"/>
      <c r="K383" s="281"/>
      <c r="L383" s="166"/>
      <c r="M383" s="285"/>
      <c r="N383" s="219"/>
      <c r="O383" s="285"/>
      <c r="P383" s="285"/>
      <c r="Q383" s="285"/>
      <c r="R383" s="285"/>
      <c r="S383" s="281"/>
      <c r="T383" s="285"/>
      <c r="U383" s="285"/>
      <c r="V383" s="281"/>
    </row>
    <row r="384" spans="1:22" s="1" customFormat="1" ht="16.5" x14ac:dyDescent="0.25">
      <c r="A384" s="450" t="s">
        <v>259</v>
      </c>
      <c r="B384" s="251" t="s">
        <v>15</v>
      </c>
      <c r="C384" s="166">
        <f>'RETRIBUCIONES 2025'!$E$4</f>
        <v>861.46</v>
      </c>
      <c r="D384" s="166">
        <f t="shared" si="119"/>
        <v>10337.52</v>
      </c>
      <c r="E384" s="166">
        <v>0</v>
      </c>
      <c r="F384" s="166">
        <f t="shared" si="120"/>
        <v>0</v>
      </c>
      <c r="G384" s="220">
        <v>17</v>
      </c>
      <c r="H384" s="166">
        <f>'RETRIBUCIONES 2025'!$J$14</f>
        <v>445.5</v>
      </c>
      <c r="I384" s="166">
        <f t="shared" si="121"/>
        <v>5346</v>
      </c>
      <c r="J384" s="166">
        <v>606.65</v>
      </c>
      <c r="K384" s="281">
        <f t="shared" si="122"/>
        <v>7279.7999999999993</v>
      </c>
      <c r="L384" s="166">
        <f t="shared" si="123"/>
        <v>1913.6100000000001</v>
      </c>
      <c r="M384" s="285">
        <f t="shared" si="124"/>
        <v>22963.32</v>
      </c>
      <c r="N384" s="219">
        <f>'RETRIBUCIONES 2025'!$E$9</f>
        <v>744.56</v>
      </c>
      <c r="O384" s="285">
        <v>0</v>
      </c>
      <c r="P384" s="285">
        <f>SUM(N384:O384)</f>
        <v>744.56</v>
      </c>
      <c r="Q384" s="285">
        <f t="shared" si="125"/>
        <v>445.5</v>
      </c>
      <c r="R384" s="285">
        <f t="shared" si="126"/>
        <v>606.65</v>
      </c>
      <c r="S384" s="281">
        <f t="shared" si="127"/>
        <v>1796.71</v>
      </c>
      <c r="T384" s="285">
        <f t="shared" si="128"/>
        <v>26556.739999999998</v>
      </c>
      <c r="U384" s="285">
        <f t="shared" si="129"/>
        <v>8763.7242000000006</v>
      </c>
      <c r="V384" s="281">
        <f t="shared" si="130"/>
        <v>35320.464200000002</v>
      </c>
    </row>
    <row r="385" spans="1:22" s="1" customFormat="1" ht="16.5" x14ac:dyDescent="0.25">
      <c r="A385" s="454"/>
      <c r="B385" s="251"/>
      <c r="C385" s="166"/>
      <c r="D385" s="166"/>
      <c r="E385" s="166"/>
      <c r="F385" s="166"/>
      <c r="G385" s="220"/>
      <c r="H385" s="166"/>
      <c r="I385" s="166"/>
      <c r="J385" s="166"/>
      <c r="K385" s="281"/>
      <c r="L385" s="166"/>
      <c r="M385" s="285"/>
      <c r="N385" s="219"/>
      <c r="O385" s="285"/>
      <c r="P385" s="285"/>
      <c r="Q385" s="285"/>
      <c r="R385" s="285"/>
      <c r="S385" s="281"/>
      <c r="T385" s="285"/>
      <c r="U385" s="285"/>
      <c r="V385" s="281"/>
    </row>
    <row r="386" spans="1:22" s="1" customFormat="1" ht="16.5" x14ac:dyDescent="0.25">
      <c r="A386" s="450" t="s">
        <v>259</v>
      </c>
      <c r="B386" s="251" t="s">
        <v>15</v>
      </c>
      <c r="C386" s="180">
        <f>'RETRIBUCIONES 2025'!$E$4</f>
        <v>861.46</v>
      </c>
      <c r="D386" s="166">
        <f t="shared" si="119"/>
        <v>10337.52</v>
      </c>
      <c r="E386" s="285">
        <v>0</v>
      </c>
      <c r="F386" s="166">
        <f t="shared" si="120"/>
        <v>0</v>
      </c>
      <c r="G386" s="307">
        <v>17</v>
      </c>
      <c r="H386" s="180">
        <f>'RETRIBUCIONES 2025'!$J$14</f>
        <v>445.5</v>
      </c>
      <c r="I386" s="166">
        <f t="shared" si="121"/>
        <v>5346</v>
      </c>
      <c r="J386" s="166">
        <v>606.65</v>
      </c>
      <c r="K386" s="281">
        <f t="shared" si="122"/>
        <v>7279.7999999999993</v>
      </c>
      <c r="L386" s="166">
        <f t="shared" si="123"/>
        <v>1913.6100000000001</v>
      </c>
      <c r="M386" s="285">
        <f t="shared" si="124"/>
        <v>22963.32</v>
      </c>
      <c r="N386" s="179">
        <f>'RETRIBUCIONES 2025'!$E$9</f>
        <v>744.56</v>
      </c>
      <c r="O386" s="285">
        <v>0</v>
      </c>
      <c r="P386" s="308">
        <f>SUM(N386:O386)</f>
        <v>744.56</v>
      </c>
      <c r="Q386" s="285">
        <f t="shared" si="125"/>
        <v>445.5</v>
      </c>
      <c r="R386" s="285">
        <f t="shared" si="126"/>
        <v>606.65</v>
      </c>
      <c r="S386" s="281">
        <f t="shared" si="127"/>
        <v>1796.71</v>
      </c>
      <c r="T386" s="285">
        <f t="shared" si="128"/>
        <v>26556.739999999998</v>
      </c>
      <c r="U386" s="285">
        <f t="shared" si="129"/>
        <v>8763.7242000000006</v>
      </c>
      <c r="V386" s="281">
        <f t="shared" si="130"/>
        <v>35320.464200000002</v>
      </c>
    </row>
    <row r="387" spans="1:22" s="1" customFormat="1" ht="16.5" x14ac:dyDescent="0.25">
      <c r="A387" s="454"/>
      <c r="B387" s="251"/>
      <c r="C387" s="166"/>
      <c r="D387" s="166"/>
      <c r="E387" s="166"/>
      <c r="F387" s="166"/>
      <c r="G387" s="220"/>
      <c r="H387" s="166"/>
      <c r="I387" s="166"/>
      <c r="J387" s="166"/>
      <c r="K387" s="281"/>
      <c r="L387" s="166"/>
      <c r="M387" s="285"/>
      <c r="N387" s="219"/>
      <c r="O387" s="285"/>
      <c r="P387" s="285"/>
      <c r="Q387" s="285"/>
      <c r="R387" s="285"/>
      <c r="S387" s="281"/>
      <c r="T387" s="285"/>
      <c r="U387" s="285"/>
      <c r="V387" s="281"/>
    </row>
    <row r="388" spans="1:22" s="1" customFormat="1" ht="16.5" x14ac:dyDescent="0.25">
      <c r="A388" s="450" t="s">
        <v>259</v>
      </c>
      <c r="B388" s="251" t="s">
        <v>15</v>
      </c>
      <c r="C388" s="166">
        <f>'RETRIBUCIONES 2025'!$E$4</f>
        <v>861.46</v>
      </c>
      <c r="D388" s="166">
        <f t="shared" si="119"/>
        <v>10337.52</v>
      </c>
      <c r="E388" s="180">
        <f>'RETRIBUCIONES 2025'!$E$5*1</f>
        <v>31.53</v>
      </c>
      <c r="F388" s="166">
        <f t="shared" si="120"/>
        <v>378.36</v>
      </c>
      <c r="G388" s="220">
        <v>17</v>
      </c>
      <c r="H388" s="166">
        <f>'RETRIBUCIONES 2025'!$J$14</f>
        <v>445.5</v>
      </c>
      <c r="I388" s="166">
        <f t="shared" si="121"/>
        <v>5346</v>
      </c>
      <c r="J388" s="166">
        <v>606.65</v>
      </c>
      <c r="K388" s="281">
        <f t="shared" si="122"/>
        <v>7279.7999999999993</v>
      </c>
      <c r="L388" s="166">
        <f t="shared" si="123"/>
        <v>1945.1399999999999</v>
      </c>
      <c r="M388" s="285">
        <f t="shared" si="124"/>
        <v>23341.68</v>
      </c>
      <c r="N388" s="219">
        <f>'RETRIBUCIONES 2025'!$E$9</f>
        <v>744.56</v>
      </c>
      <c r="O388" s="180">
        <f>'RETRIBUCIONES 2025'!$E$10*1</f>
        <v>27.21</v>
      </c>
      <c r="P388" s="285">
        <f>SUM(N388:O388)</f>
        <v>771.77</v>
      </c>
      <c r="Q388" s="285">
        <f t="shared" si="125"/>
        <v>445.5</v>
      </c>
      <c r="R388" s="285">
        <f t="shared" si="126"/>
        <v>606.65</v>
      </c>
      <c r="S388" s="281">
        <f t="shared" si="127"/>
        <v>1823.92</v>
      </c>
      <c r="T388" s="285">
        <f t="shared" si="128"/>
        <v>26989.52</v>
      </c>
      <c r="U388" s="285">
        <f t="shared" si="129"/>
        <v>8906.5416000000005</v>
      </c>
      <c r="V388" s="281">
        <f t="shared" si="130"/>
        <v>35896.061600000001</v>
      </c>
    </row>
    <row r="389" spans="1:22" s="1" customFormat="1" ht="16.5" x14ac:dyDescent="0.25">
      <c r="A389" s="454"/>
      <c r="B389" s="251"/>
      <c r="C389" s="166"/>
      <c r="D389" s="166"/>
      <c r="E389" s="166"/>
      <c r="F389" s="166"/>
      <c r="G389" s="220"/>
      <c r="H389" s="166"/>
      <c r="I389" s="166"/>
      <c r="J389" s="166"/>
      <c r="K389" s="281"/>
      <c r="L389" s="166"/>
      <c r="M389" s="285"/>
      <c r="N389" s="219"/>
      <c r="O389" s="285"/>
      <c r="P389" s="285"/>
      <c r="Q389" s="285"/>
      <c r="R389" s="285"/>
      <c r="S389" s="281"/>
      <c r="T389" s="285"/>
      <c r="U389" s="285"/>
      <c r="V389" s="281"/>
    </row>
    <row r="390" spans="1:22" s="1" customFormat="1" ht="16.5" x14ac:dyDescent="0.25">
      <c r="A390" s="450" t="s">
        <v>259</v>
      </c>
      <c r="B390" s="251" t="s">
        <v>15</v>
      </c>
      <c r="C390" s="166">
        <f>'RETRIBUCIONES 2025'!$E$4</f>
        <v>861.46</v>
      </c>
      <c r="D390" s="166">
        <f t="shared" si="119"/>
        <v>10337.52</v>
      </c>
      <c r="E390" s="166">
        <v>0</v>
      </c>
      <c r="F390" s="166">
        <f t="shared" si="120"/>
        <v>0</v>
      </c>
      <c r="G390" s="220">
        <v>17</v>
      </c>
      <c r="H390" s="166">
        <f>'RETRIBUCIONES 2025'!$J$14</f>
        <v>445.5</v>
      </c>
      <c r="I390" s="166">
        <f t="shared" si="121"/>
        <v>5346</v>
      </c>
      <c r="J390" s="166">
        <v>606.65</v>
      </c>
      <c r="K390" s="281">
        <f t="shared" si="122"/>
        <v>7279.7999999999993</v>
      </c>
      <c r="L390" s="166">
        <f t="shared" si="123"/>
        <v>1913.6100000000001</v>
      </c>
      <c r="M390" s="285">
        <f t="shared" si="124"/>
        <v>22963.32</v>
      </c>
      <c r="N390" s="219">
        <f>'RETRIBUCIONES 2025'!$E$9</f>
        <v>744.56</v>
      </c>
      <c r="O390" s="285">
        <v>0</v>
      </c>
      <c r="P390" s="285">
        <f>SUM(N390:O390)</f>
        <v>744.56</v>
      </c>
      <c r="Q390" s="285">
        <f t="shared" si="125"/>
        <v>445.5</v>
      </c>
      <c r="R390" s="285">
        <f t="shared" si="126"/>
        <v>606.65</v>
      </c>
      <c r="S390" s="281">
        <f t="shared" si="127"/>
        <v>1796.71</v>
      </c>
      <c r="T390" s="285">
        <f t="shared" si="128"/>
        <v>26556.739999999998</v>
      </c>
      <c r="U390" s="285">
        <f t="shared" si="129"/>
        <v>8763.7242000000006</v>
      </c>
      <c r="V390" s="281">
        <f t="shared" si="130"/>
        <v>35320.464200000002</v>
      </c>
    </row>
    <row r="391" spans="1:22" s="4" customFormat="1" ht="16.5" x14ac:dyDescent="0.25">
      <c r="A391" s="454"/>
      <c r="B391" s="251"/>
      <c r="C391" s="166"/>
      <c r="D391" s="166"/>
      <c r="E391" s="166"/>
      <c r="F391" s="166"/>
      <c r="G391" s="220"/>
      <c r="H391" s="166"/>
      <c r="I391" s="166"/>
      <c r="J391" s="166"/>
      <c r="K391" s="281"/>
      <c r="L391" s="166"/>
      <c r="M391" s="285"/>
      <c r="N391" s="219"/>
      <c r="O391" s="285"/>
      <c r="P391" s="285"/>
      <c r="Q391" s="285"/>
      <c r="R391" s="285"/>
      <c r="S391" s="281"/>
      <c r="T391" s="285"/>
      <c r="U391" s="285"/>
      <c r="V391" s="281"/>
    </row>
    <row r="392" spans="1:22" s="1" customFormat="1" ht="16.5" x14ac:dyDescent="0.25">
      <c r="A392" s="450" t="s">
        <v>259</v>
      </c>
      <c r="B392" s="251" t="s">
        <v>15</v>
      </c>
      <c r="C392" s="166">
        <f>'RETRIBUCIONES 2025'!$E$4</f>
        <v>861.46</v>
      </c>
      <c r="D392" s="166">
        <f t="shared" si="119"/>
        <v>10337.52</v>
      </c>
      <c r="E392" s="166">
        <v>0</v>
      </c>
      <c r="F392" s="166">
        <f t="shared" si="120"/>
        <v>0</v>
      </c>
      <c r="G392" s="220">
        <v>17</v>
      </c>
      <c r="H392" s="166">
        <f>'RETRIBUCIONES 2025'!$J$14</f>
        <v>445.5</v>
      </c>
      <c r="I392" s="166">
        <f t="shared" si="121"/>
        <v>5346</v>
      </c>
      <c r="J392" s="166">
        <v>606.65</v>
      </c>
      <c r="K392" s="281">
        <f t="shared" si="122"/>
        <v>7279.7999999999993</v>
      </c>
      <c r="L392" s="166">
        <f t="shared" si="123"/>
        <v>1913.6100000000001</v>
      </c>
      <c r="M392" s="285">
        <f t="shared" si="124"/>
        <v>22963.32</v>
      </c>
      <c r="N392" s="219">
        <f>'RETRIBUCIONES 2025'!$E$9</f>
        <v>744.56</v>
      </c>
      <c r="O392" s="285">
        <v>0</v>
      </c>
      <c r="P392" s="285">
        <f>SUM(N392:O392)</f>
        <v>744.56</v>
      </c>
      <c r="Q392" s="285">
        <f t="shared" si="125"/>
        <v>445.5</v>
      </c>
      <c r="R392" s="285">
        <f t="shared" si="126"/>
        <v>606.65</v>
      </c>
      <c r="S392" s="281">
        <f t="shared" si="127"/>
        <v>1796.71</v>
      </c>
      <c r="T392" s="285">
        <f t="shared" si="128"/>
        <v>26556.739999999998</v>
      </c>
      <c r="U392" s="285">
        <f t="shared" si="129"/>
        <v>8763.7242000000006</v>
      </c>
      <c r="V392" s="281">
        <f t="shared" si="130"/>
        <v>35320.464200000002</v>
      </c>
    </row>
    <row r="393" spans="1:22" s="1" customFormat="1" ht="16.5" x14ac:dyDescent="0.25">
      <c r="A393" s="454"/>
      <c r="B393" s="251"/>
      <c r="C393" s="166"/>
      <c r="D393" s="166"/>
      <c r="E393" s="166"/>
      <c r="F393" s="166"/>
      <c r="G393" s="220"/>
      <c r="H393" s="166"/>
      <c r="I393" s="166"/>
      <c r="J393" s="166"/>
      <c r="K393" s="281"/>
      <c r="L393" s="166"/>
      <c r="M393" s="285"/>
      <c r="N393" s="219"/>
      <c r="O393" s="285"/>
      <c r="P393" s="285"/>
      <c r="Q393" s="285"/>
      <c r="R393" s="285"/>
      <c r="S393" s="281"/>
      <c r="T393" s="285"/>
      <c r="U393" s="285"/>
      <c r="V393" s="281"/>
    </row>
    <row r="394" spans="1:22" s="1" customFormat="1" ht="16.5" x14ac:dyDescent="0.25">
      <c r="A394" s="455" t="s">
        <v>20</v>
      </c>
      <c r="B394" s="255"/>
      <c r="C394" s="183">
        <f>SUM(C378:C392)</f>
        <v>6891.68</v>
      </c>
      <c r="D394" s="183">
        <f t="shared" ref="D394:V394" si="131">SUM(D378:D392)</f>
        <v>82700.160000000018</v>
      </c>
      <c r="E394" s="183">
        <f t="shared" si="131"/>
        <v>283.77</v>
      </c>
      <c r="F394" s="183">
        <f t="shared" si="131"/>
        <v>3405.2400000000002</v>
      </c>
      <c r="G394" s="187"/>
      <c r="H394" s="183">
        <f t="shared" si="131"/>
        <v>3564</v>
      </c>
      <c r="I394" s="183">
        <f t="shared" si="131"/>
        <v>42768</v>
      </c>
      <c r="J394" s="183">
        <f t="shared" si="131"/>
        <v>4853.2</v>
      </c>
      <c r="K394" s="232">
        <f t="shared" si="131"/>
        <v>58238.400000000009</v>
      </c>
      <c r="L394" s="183">
        <f t="shared" si="131"/>
        <v>15592.650000000001</v>
      </c>
      <c r="M394" s="183">
        <f t="shared" si="131"/>
        <v>187111.80000000002</v>
      </c>
      <c r="N394" s="187">
        <f t="shared" si="131"/>
        <v>5956.48</v>
      </c>
      <c r="O394" s="183">
        <f t="shared" si="131"/>
        <v>244.89000000000001</v>
      </c>
      <c r="P394" s="183">
        <f t="shared" si="131"/>
        <v>6201.369999999999</v>
      </c>
      <c r="Q394" s="183">
        <f t="shared" si="131"/>
        <v>3564</v>
      </c>
      <c r="R394" s="183">
        <f t="shared" si="131"/>
        <v>4853.2</v>
      </c>
      <c r="S394" s="232">
        <f t="shared" si="131"/>
        <v>14618.57</v>
      </c>
      <c r="T394" s="183">
        <f t="shared" si="131"/>
        <v>216348.93999999997</v>
      </c>
      <c r="U394" s="183">
        <f t="shared" si="131"/>
        <v>71395.150199999989</v>
      </c>
      <c r="V394" s="232">
        <f t="shared" si="131"/>
        <v>287744.09019999998</v>
      </c>
    </row>
    <row r="395" spans="1:22" s="1" customFormat="1" ht="16.5" x14ac:dyDescent="0.25">
      <c r="A395" s="453"/>
      <c r="B395" s="251"/>
      <c r="C395" s="166"/>
      <c r="D395" s="166"/>
      <c r="E395" s="166"/>
      <c r="F395" s="188"/>
      <c r="G395" s="220"/>
      <c r="H395" s="166"/>
      <c r="I395" s="166"/>
      <c r="J395" s="166"/>
      <c r="K395" s="281"/>
      <c r="L395" s="166"/>
      <c r="M395" s="294"/>
      <c r="N395" s="305"/>
      <c r="O395" s="285"/>
      <c r="P395" s="285"/>
      <c r="Q395" s="285"/>
      <c r="R395" s="285"/>
      <c r="S395" s="281"/>
      <c r="T395" s="285"/>
      <c r="U395" s="285"/>
      <c r="V395" s="281"/>
    </row>
    <row r="396" spans="1:22" s="33" customFormat="1" ht="20.100000000000001" customHeight="1" x14ac:dyDescent="0.25">
      <c r="A396" s="469" t="s">
        <v>39</v>
      </c>
      <c r="B396" s="286"/>
      <c r="C396" s="270">
        <f>C394+C376</f>
        <v>8039.0300000000007</v>
      </c>
      <c r="D396" s="270">
        <f t="shared" ref="D396:V396" si="132">D394+D376</f>
        <v>96468.360000000015</v>
      </c>
      <c r="E396" s="270">
        <f t="shared" si="132"/>
        <v>783.56999999999994</v>
      </c>
      <c r="F396" s="270">
        <f t="shared" si="132"/>
        <v>9402.84</v>
      </c>
      <c r="G396" s="272"/>
      <c r="H396" s="270">
        <f t="shared" si="132"/>
        <v>4174</v>
      </c>
      <c r="I396" s="270">
        <f t="shared" si="132"/>
        <v>50088</v>
      </c>
      <c r="J396" s="270">
        <f t="shared" si="132"/>
        <v>6073.6399999999994</v>
      </c>
      <c r="K396" s="271">
        <f t="shared" si="132"/>
        <v>72883.680000000008</v>
      </c>
      <c r="L396" s="270">
        <f t="shared" si="132"/>
        <v>19070.240000000002</v>
      </c>
      <c r="M396" s="270">
        <f t="shared" si="132"/>
        <v>228842.88</v>
      </c>
      <c r="N396" s="272">
        <f t="shared" si="132"/>
        <v>6793.2599999999993</v>
      </c>
      <c r="O396" s="270">
        <f t="shared" si="132"/>
        <v>609.33000000000004</v>
      </c>
      <c r="P396" s="270">
        <f t="shared" si="132"/>
        <v>7402.5899999999992</v>
      </c>
      <c r="Q396" s="270">
        <f t="shared" si="132"/>
        <v>4174</v>
      </c>
      <c r="R396" s="270">
        <f t="shared" si="132"/>
        <v>6073.6399999999994</v>
      </c>
      <c r="S396" s="271">
        <f t="shared" si="132"/>
        <v>17650.23</v>
      </c>
      <c r="T396" s="270">
        <f t="shared" si="132"/>
        <v>264143.33999999997</v>
      </c>
      <c r="U396" s="270">
        <f t="shared" si="132"/>
        <v>87167.302199999991</v>
      </c>
      <c r="V396" s="271">
        <f t="shared" si="132"/>
        <v>351310.6422</v>
      </c>
    </row>
    <row r="397" spans="1:22" s="1" customFormat="1" ht="17.25" thickBot="1" x14ac:dyDescent="0.3">
      <c r="A397" s="457"/>
      <c r="B397" s="299"/>
      <c r="C397" s="274"/>
      <c r="D397" s="274"/>
      <c r="E397" s="274"/>
      <c r="F397" s="274"/>
      <c r="G397" s="276"/>
      <c r="H397" s="277"/>
      <c r="I397" s="274"/>
      <c r="J397" s="274"/>
      <c r="K397" s="275"/>
      <c r="L397" s="274"/>
      <c r="M397" s="274"/>
      <c r="N397" s="278"/>
      <c r="O397" s="274"/>
      <c r="P397" s="274"/>
      <c r="Q397" s="274"/>
      <c r="R397" s="291"/>
      <c r="S397" s="289"/>
      <c r="T397" s="292" t="s">
        <v>185</v>
      </c>
      <c r="U397" s="292" t="s">
        <v>186</v>
      </c>
      <c r="V397" s="289"/>
    </row>
    <row r="398" spans="1:22" s="1" customFormat="1" ht="16.5" x14ac:dyDescent="0.25">
      <c r="A398" s="453"/>
      <c r="B398" s="309"/>
      <c r="C398" s="188"/>
      <c r="D398" s="188"/>
      <c r="E398" s="188"/>
      <c r="F398" s="188"/>
      <c r="G398" s="210"/>
      <c r="H398" s="236"/>
      <c r="I398" s="188"/>
      <c r="J398" s="188"/>
      <c r="K398" s="188"/>
      <c r="L398" s="188"/>
      <c r="M398" s="188"/>
      <c r="N398" s="188"/>
      <c r="O398" s="188"/>
      <c r="P398" s="188"/>
      <c r="Q398" s="188"/>
      <c r="R398" s="285"/>
      <c r="S398" s="285"/>
      <c r="T398" s="309"/>
      <c r="U398" s="309"/>
      <c r="V398" s="281"/>
    </row>
    <row r="399" spans="1:22" s="1" customFormat="1" ht="17.25" thickBot="1" x14ac:dyDescent="0.3">
      <c r="A399" s="454"/>
      <c r="B399" s="293"/>
      <c r="C399" s="166"/>
      <c r="D399" s="166"/>
      <c r="E399" s="166"/>
      <c r="F399" s="166"/>
      <c r="G399" s="164"/>
      <c r="H399" s="165"/>
      <c r="I399" s="166"/>
      <c r="J399" s="166"/>
      <c r="K399" s="166"/>
      <c r="L399" s="166"/>
      <c r="M399" s="285"/>
      <c r="N399" s="285"/>
      <c r="O399" s="294"/>
      <c r="P399" s="294"/>
      <c r="Q399" s="285"/>
      <c r="R399" s="294"/>
      <c r="S399" s="294"/>
      <c r="T399" s="294"/>
      <c r="U399" s="294"/>
      <c r="V399" s="304"/>
    </row>
    <row r="400" spans="1:22" s="1" customFormat="1" ht="17.25" thickBot="1" x14ac:dyDescent="0.3">
      <c r="A400" s="543" t="s">
        <v>81</v>
      </c>
      <c r="B400" s="544"/>
      <c r="C400" s="544"/>
      <c r="D400" s="544"/>
      <c r="E400" s="544"/>
      <c r="F400" s="544"/>
      <c r="G400" s="544"/>
      <c r="H400" s="544"/>
      <c r="I400" s="544"/>
      <c r="J400" s="544"/>
      <c r="K400" s="544"/>
      <c r="L400" s="544"/>
      <c r="M400" s="544"/>
      <c r="N400" s="544"/>
      <c r="O400" s="544"/>
      <c r="P400" s="544"/>
      <c r="Q400" s="544"/>
      <c r="R400" s="544"/>
      <c r="S400" s="544"/>
      <c r="T400" s="544"/>
      <c r="U400" s="544"/>
      <c r="V400" s="545"/>
    </row>
    <row r="401" spans="1:22" s="1" customFormat="1" ht="17.25" thickBot="1" x14ac:dyDescent="0.25">
      <c r="A401" s="526">
        <v>334</v>
      </c>
      <c r="B401" s="527"/>
      <c r="C401" s="527"/>
      <c r="D401" s="527"/>
      <c r="E401" s="527"/>
      <c r="F401" s="527"/>
      <c r="G401" s="527"/>
      <c r="H401" s="527"/>
      <c r="I401" s="527"/>
      <c r="J401" s="527"/>
      <c r="K401" s="527"/>
      <c r="L401" s="527"/>
      <c r="M401" s="527"/>
      <c r="N401" s="527"/>
      <c r="O401" s="527"/>
      <c r="P401" s="527"/>
      <c r="Q401" s="527"/>
      <c r="R401" s="527"/>
      <c r="S401" s="527"/>
      <c r="T401" s="527"/>
      <c r="U401" s="527"/>
      <c r="V401" s="528"/>
    </row>
    <row r="402" spans="1:22" s="1" customFormat="1" ht="16.5" x14ac:dyDescent="0.25">
      <c r="A402" s="454"/>
      <c r="B402" s="529" t="s">
        <v>123</v>
      </c>
      <c r="C402" s="530"/>
      <c r="D402" s="530"/>
      <c r="E402" s="530"/>
      <c r="F402" s="531"/>
      <c r="G402" s="532" t="s">
        <v>124</v>
      </c>
      <c r="H402" s="532"/>
      <c r="I402" s="532"/>
      <c r="J402" s="532"/>
      <c r="K402" s="532"/>
      <c r="L402" s="533" t="s">
        <v>132</v>
      </c>
      <c r="M402" s="535" t="s">
        <v>133</v>
      </c>
      <c r="N402" s="515" t="s">
        <v>2</v>
      </c>
      <c r="O402" s="515"/>
      <c r="P402" s="515"/>
      <c r="Q402" s="515"/>
      <c r="R402" s="515"/>
      <c r="S402" s="515"/>
      <c r="T402" s="302"/>
      <c r="U402" s="296"/>
      <c r="V402" s="297"/>
    </row>
    <row r="403" spans="1:22" s="1" customFormat="1" ht="33.75" thickBot="1" x14ac:dyDescent="0.25">
      <c r="A403" s="213"/>
      <c r="B403" s="268" t="s">
        <v>6</v>
      </c>
      <c r="C403" s="173" t="s">
        <v>144</v>
      </c>
      <c r="D403" s="173" t="s">
        <v>139</v>
      </c>
      <c r="E403" s="173" t="s">
        <v>145</v>
      </c>
      <c r="F403" s="174" t="s">
        <v>140</v>
      </c>
      <c r="G403" s="200" t="s">
        <v>9</v>
      </c>
      <c r="H403" s="173" t="s">
        <v>136</v>
      </c>
      <c r="I403" s="173" t="s">
        <v>135</v>
      </c>
      <c r="J403" s="173" t="s">
        <v>134</v>
      </c>
      <c r="K403" s="173" t="s">
        <v>137</v>
      </c>
      <c r="L403" s="534"/>
      <c r="M403" s="536"/>
      <c r="N403" s="173" t="s">
        <v>10</v>
      </c>
      <c r="O403" s="173" t="s">
        <v>11</v>
      </c>
      <c r="P403" s="173" t="s">
        <v>120</v>
      </c>
      <c r="Q403" s="173" t="s">
        <v>122</v>
      </c>
      <c r="R403" s="173" t="s">
        <v>121</v>
      </c>
      <c r="S403" s="173" t="s">
        <v>116</v>
      </c>
      <c r="T403" s="303" t="s">
        <v>141</v>
      </c>
      <c r="U403" s="173" t="s">
        <v>143</v>
      </c>
      <c r="V403" s="174" t="s">
        <v>142</v>
      </c>
    </row>
    <row r="404" spans="1:22" s="1" customFormat="1" ht="16.5" x14ac:dyDescent="0.2">
      <c r="A404" s="213"/>
      <c r="B404" s="310"/>
      <c r="C404" s="311"/>
      <c r="D404" s="311"/>
      <c r="E404" s="311"/>
      <c r="F404" s="312"/>
      <c r="G404" s="313"/>
      <c r="H404" s="314"/>
      <c r="I404" s="311"/>
      <c r="J404" s="311"/>
      <c r="K404" s="311"/>
      <c r="L404" s="310"/>
      <c r="M404" s="312"/>
      <c r="N404" s="311"/>
      <c r="O404" s="315"/>
      <c r="P404" s="315"/>
      <c r="Q404" s="311"/>
      <c r="R404" s="311"/>
      <c r="S404" s="311"/>
      <c r="T404" s="310"/>
      <c r="U404" s="311"/>
      <c r="V404" s="312"/>
    </row>
    <row r="405" spans="1:22" s="1" customFormat="1" ht="16.5" x14ac:dyDescent="0.25">
      <c r="A405" s="450" t="s">
        <v>261</v>
      </c>
      <c r="B405" s="310" t="s">
        <v>13</v>
      </c>
      <c r="C405" s="180">
        <f>'RETRIBUCIONES 2025'!C4</f>
        <v>1147.3499999999999</v>
      </c>
      <c r="D405" s="180">
        <f>C405*12</f>
        <v>13768.199999999999</v>
      </c>
      <c r="E405" s="180">
        <f>'RETRIBUCIONES 2025'!C5*9</f>
        <v>374.84999999999997</v>
      </c>
      <c r="F405" s="260">
        <f>E405*12</f>
        <v>4498.2</v>
      </c>
      <c r="G405" s="233" t="s">
        <v>96</v>
      </c>
      <c r="H405" s="180">
        <f>'RETRIBUCIONES 2025'!O14</f>
        <v>610</v>
      </c>
      <c r="I405" s="180">
        <f>H405*12</f>
        <v>7320</v>
      </c>
      <c r="J405" s="180">
        <v>727.12</v>
      </c>
      <c r="K405" s="285">
        <f>J405*12</f>
        <v>8725.44</v>
      </c>
      <c r="L405" s="316">
        <f>C405+E405+H405+J405</f>
        <v>2859.3199999999997</v>
      </c>
      <c r="M405" s="260">
        <f>D405+F405+I405+K405</f>
        <v>34311.839999999997</v>
      </c>
      <c r="N405" s="180">
        <f>'RETRIBUCIONES 2025'!C9</f>
        <v>836.78</v>
      </c>
      <c r="O405" s="180">
        <f>'RETRIBUCIONES 2025'!C10*9</f>
        <v>273.33</v>
      </c>
      <c r="P405" s="180">
        <f>SUM(N405:O405)</f>
        <v>1110.1099999999999</v>
      </c>
      <c r="Q405" s="285">
        <f>H405</f>
        <v>610</v>
      </c>
      <c r="R405" s="285">
        <f>J405</f>
        <v>727.12</v>
      </c>
      <c r="S405" s="285">
        <f>SUM(P405:R405)</f>
        <v>2447.23</v>
      </c>
      <c r="T405" s="316">
        <f>M405+S405*2</f>
        <v>39206.299999999996</v>
      </c>
      <c r="U405" s="180">
        <f>T405*0.33</f>
        <v>12938.079</v>
      </c>
      <c r="V405" s="260">
        <f>SUM(T405:U405)</f>
        <v>52144.378999999994</v>
      </c>
    </row>
    <row r="406" spans="1:22" s="1" customFormat="1" ht="16.5" x14ac:dyDescent="0.25">
      <c r="A406" s="213"/>
      <c r="B406" s="310"/>
      <c r="C406" s="311"/>
      <c r="D406" s="311"/>
      <c r="E406" s="311"/>
      <c r="F406" s="260"/>
      <c r="G406" s="314"/>
      <c r="H406" s="311"/>
      <c r="I406" s="180"/>
      <c r="J406" s="311"/>
      <c r="K406" s="285"/>
      <c r="L406" s="316"/>
      <c r="M406" s="260"/>
      <c r="N406" s="311"/>
      <c r="O406" s="311"/>
      <c r="P406" s="311"/>
      <c r="Q406" s="285"/>
      <c r="R406" s="285"/>
      <c r="S406" s="285"/>
      <c r="T406" s="316"/>
      <c r="U406" s="180"/>
      <c r="V406" s="260"/>
    </row>
    <row r="407" spans="1:22" s="1" customFormat="1" ht="16.5" x14ac:dyDescent="0.25">
      <c r="A407" s="450" t="s">
        <v>260</v>
      </c>
      <c r="B407" s="251" t="s">
        <v>15</v>
      </c>
      <c r="C407" s="166">
        <f>'RETRIBUCIONES 2025'!$E$4</f>
        <v>861.46</v>
      </c>
      <c r="D407" s="311">
        <f t="shared" ref="D407" si="133">C407*12</f>
        <v>10337.52</v>
      </c>
      <c r="E407" s="166">
        <f>('RETRIBUCIONES 2025'!E5*1)+('RETRIBUCIONES 2025'!F5*3)</f>
        <v>95.91</v>
      </c>
      <c r="F407" s="260">
        <f t="shared" ref="F407" si="134">E407*12</f>
        <v>1150.92</v>
      </c>
      <c r="G407" s="165">
        <v>20</v>
      </c>
      <c r="H407" s="166">
        <f>'RETRIBUCIONES 2025'!$M$14</f>
        <v>526.09</v>
      </c>
      <c r="I407" s="180">
        <f t="shared" ref="I407" si="135">H407*12</f>
        <v>6313.08</v>
      </c>
      <c r="J407" s="166">
        <v>866.22</v>
      </c>
      <c r="K407" s="285">
        <f t="shared" ref="K407" si="136">J407*12</f>
        <v>10394.64</v>
      </c>
      <c r="L407" s="316">
        <f t="shared" ref="L407" si="137">C407+E407+H407+J407</f>
        <v>2349.6800000000003</v>
      </c>
      <c r="M407" s="260">
        <f t="shared" ref="M407" si="138">D407+F407+I407+K407</f>
        <v>28196.16</v>
      </c>
      <c r="N407" s="285">
        <f>'RETRIBUCIONES 2025'!$E$9</f>
        <v>744.56</v>
      </c>
      <c r="O407" s="180">
        <f>('RETRIBUCIONES 2025'!F10*3+'RETRIBUCIONES 2025'!E10)</f>
        <v>90.93</v>
      </c>
      <c r="P407" s="285">
        <f>SUM(N407:O407)</f>
        <v>835.49</v>
      </c>
      <c r="Q407" s="285">
        <f t="shared" ref="Q407" si="139">H407</f>
        <v>526.09</v>
      </c>
      <c r="R407" s="285">
        <f t="shared" ref="R407" si="140">J407</f>
        <v>866.22</v>
      </c>
      <c r="S407" s="285">
        <f t="shared" ref="S407" si="141">SUM(P407:R407)</f>
        <v>2227.8000000000002</v>
      </c>
      <c r="T407" s="316">
        <f t="shared" ref="T407" si="142">M407+S407*2</f>
        <v>32651.760000000002</v>
      </c>
      <c r="U407" s="180">
        <f t="shared" ref="U407" si="143">T407*0.33</f>
        <v>10775.080800000002</v>
      </c>
      <c r="V407" s="260">
        <f t="shared" ref="V407" si="144">SUM(T407:U407)</f>
        <v>43426.840800000005</v>
      </c>
    </row>
    <row r="408" spans="1:22" s="1" customFormat="1" ht="16.5" x14ac:dyDescent="0.25">
      <c r="A408" s="454"/>
      <c r="B408" s="251"/>
      <c r="C408" s="166"/>
      <c r="D408" s="166"/>
      <c r="E408" s="166"/>
      <c r="F408" s="177"/>
      <c r="G408" s="165"/>
      <c r="H408" s="166"/>
      <c r="I408" s="166"/>
      <c r="J408" s="166"/>
      <c r="K408" s="285"/>
      <c r="L408" s="205"/>
      <c r="M408" s="281"/>
      <c r="N408" s="285"/>
      <c r="O408" s="285"/>
      <c r="P408" s="285"/>
      <c r="Q408" s="285"/>
      <c r="R408" s="285"/>
      <c r="S408" s="285"/>
      <c r="T408" s="219"/>
      <c r="U408" s="285"/>
      <c r="V408" s="281"/>
    </row>
    <row r="409" spans="1:22" s="1" customFormat="1" ht="16.5" x14ac:dyDescent="0.25">
      <c r="A409" s="469" t="s">
        <v>40</v>
      </c>
      <c r="B409" s="286"/>
      <c r="C409" s="270">
        <f>SUM(C405:C407)</f>
        <v>2008.81</v>
      </c>
      <c r="D409" s="270">
        <f t="shared" ref="D409:V409" si="145">SUM(D405:D407)</f>
        <v>24105.72</v>
      </c>
      <c r="E409" s="270">
        <f t="shared" si="145"/>
        <v>470.76</v>
      </c>
      <c r="F409" s="271">
        <f t="shared" si="145"/>
        <v>5649.12</v>
      </c>
      <c r="G409" s="270"/>
      <c r="H409" s="270">
        <f t="shared" si="145"/>
        <v>1136.0900000000001</v>
      </c>
      <c r="I409" s="270">
        <f t="shared" si="145"/>
        <v>13633.08</v>
      </c>
      <c r="J409" s="270">
        <f t="shared" si="145"/>
        <v>1593.3400000000001</v>
      </c>
      <c r="K409" s="270">
        <f t="shared" si="145"/>
        <v>19120.080000000002</v>
      </c>
      <c r="L409" s="272">
        <f t="shared" si="145"/>
        <v>5209</v>
      </c>
      <c r="M409" s="271">
        <f t="shared" si="145"/>
        <v>62508</v>
      </c>
      <c r="N409" s="270">
        <f t="shared" si="145"/>
        <v>1581.34</v>
      </c>
      <c r="O409" s="270">
        <f t="shared" si="145"/>
        <v>364.26</v>
      </c>
      <c r="P409" s="270">
        <f t="shared" si="145"/>
        <v>1945.6</v>
      </c>
      <c r="Q409" s="270">
        <f t="shared" si="145"/>
        <v>1136.0900000000001</v>
      </c>
      <c r="R409" s="270">
        <f t="shared" si="145"/>
        <v>1593.3400000000001</v>
      </c>
      <c r="S409" s="270">
        <f t="shared" si="145"/>
        <v>4675.0300000000007</v>
      </c>
      <c r="T409" s="272">
        <f t="shared" si="145"/>
        <v>71858.06</v>
      </c>
      <c r="U409" s="270">
        <f t="shared" si="145"/>
        <v>23713.159800000001</v>
      </c>
      <c r="V409" s="271">
        <f t="shared" si="145"/>
        <v>95571.219799999992</v>
      </c>
    </row>
    <row r="410" spans="1:22" s="33" customFormat="1" ht="20.100000000000001" customHeight="1" thickBot="1" x14ac:dyDescent="0.3">
      <c r="A410" s="457"/>
      <c r="B410" s="299"/>
      <c r="C410" s="274"/>
      <c r="D410" s="274"/>
      <c r="E410" s="274"/>
      <c r="F410" s="275"/>
      <c r="G410" s="300"/>
      <c r="H410" s="277"/>
      <c r="I410" s="274"/>
      <c r="J410" s="274"/>
      <c r="K410" s="274"/>
      <c r="L410" s="278"/>
      <c r="M410" s="301"/>
      <c r="N410" s="290"/>
      <c r="O410" s="290"/>
      <c r="P410" s="290"/>
      <c r="Q410" s="290"/>
      <c r="R410" s="291"/>
      <c r="S410" s="291"/>
      <c r="T410" s="299" t="s">
        <v>187</v>
      </c>
      <c r="U410" s="292" t="s">
        <v>188</v>
      </c>
      <c r="V410" s="289"/>
    </row>
    <row r="411" spans="1:22" s="1" customFormat="1" ht="16.5" x14ac:dyDescent="0.25">
      <c r="A411" s="453"/>
      <c r="B411" s="293"/>
      <c r="C411" s="166"/>
      <c r="D411" s="166"/>
      <c r="E411" s="166"/>
      <c r="F411" s="188"/>
      <c r="G411" s="210"/>
      <c r="H411" s="236"/>
      <c r="I411" s="188"/>
      <c r="J411" s="188"/>
      <c r="K411" s="188"/>
      <c r="L411" s="188"/>
      <c r="M411" s="188"/>
      <c r="N411" s="188"/>
      <c r="O411" s="188"/>
      <c r="P411" s="188"/>
      <c r="Q411" s="188"/>
      <c r="R411" s="294"/>
      <c r="S411" s="294"/>
      <c r="T411" s="294"/>
      <c r="U411" s="294"/>
      <c r="V411" s="304"/>
    </row>
    <row r="412" spans="1:22" s="1" customFormat="1" ht="17.25" thickBot="1" x14ac:dyDescent="0.3">
      <c r="A412" s="454"/>
      <c r="B412" s="293"/>
      <c r="C412" s="166"/>
      <c r="D412" s="166"/>
      <c r="E412" s="166"/>
      <c r="F412" s="166"/>
      <c r="G412" s="164"/>
      <c r="H412" s="165"/>
      <c r="I412" s="166"/>
      <c r="J412" s="166"/>
      <c r="K412" s="166"/>
      <c r="L412" s="166"/>
      <c r="M412" s="285"/>
      <c r="N412" s="285"/>
      <c r="O412" s="294"/>
      <c r="P412" s="294"/>
      <c r="Q412" s="285"/>
      <c r="R412" s="285"/>
      <c r="S412" s="285"/>
      <c r="T412" s="285"/>
      <c r="U412" s="285"/>
      <c r="V412" s="281"/>
    </row>
    <row r="413" spans="1:22" s="1" customFormat="1" ht="17.25" thickBot="1" x14ac:dyDescent="0.3">
      <c r="A413" s="543" t="s">
        <v>41</v>
      </c>
      <c r="B413" s="544"/>
      <c r="C413" s="544"/>
      <c r="D413" s="544"/>
      <c r="E413" s="544"/>
      <c r="F413" s="544"/>
      <c r="G413" s="544"/>
      <c r="H413" s="544"/>
      <c r="I413" s="544"/>
      <c r="J413" s="544"/>
      <c r="K413" s="544"/>
      <c r="L413" s="544"/>
      <c r="M413" s="544"/>
      <c r="N413" s="544"/>
      <c r="O413" s="544"/>
      <c r="P413" s="544"/>
      <c r="Q413" s="544"/>
      <c r="R413" s="544"/>
      <c r="S413" s="544"/>
      <c r="T413" s="544"/>
      <c r="U413" s="544"/>
      <c r="V413" s="545"/>
    </row>
    <row r="414" spans="1:22" s="1" customFormat="1" ht="17.25" thickBot="1" x14ac:dyDescent="0.25">
      <c r="A414" s="546">
        <v>340</v>
      </c>
      <c r="B414" s="547"/>
      <c r="C414" s="547"/>
      <c r="D414" s="547"/>
      <c r="E414" s="547"/>
      <c r="F414" s="547"/>
      <c r="G414" s="547"/>
      <c r="H414" s="547"/>
      <c r="I414" s="547"/>
      <c r="J414" s="547"/>
      <c r="K414" s="547"/>
      <c r="L414" s="547"/>
      <c r="M414" s="547"/>
      <c r="N414" s="547"/>
      <c r="O414" s="547"/>
      <c r="P414" s="547"/>
      <c r="Q414" s="547"/>
      <c r="R414" s="547"/>
      <c r="S414" s="547"/>
      <c r="T414" s="547"/>
      <c r="U414" s="547"/>
      <c r="V414" s="548"/>
    </row>
    <row r="415" spans="1:22" s="1" customFormat="1" ht="16.5" x14ac:dyDescent="0.25">
      <c r="A415" s="452"/>
      <c r="B415" s="529" t="s">
        <v>123</v>
      </c>
      <c r="C415" s="530"/>
      <c r="D415" s="530"/>
      <c r="E415" s="530"/>
      <c r="F415" s="531"/>
      <c r="G415" s="549" t="s">
        <v>124</v>
      </c>
      <c r="H415" s="532"/>
      <c r="I415" s="532"/>
      <c r="J415" s="532"/>
      <c r="K415" s="550"/>
      <c r="L415" s="517" t="s">
        <v>132</v>
      </c>
      <c r="M415" s="517" t="s">
        <v>133</v>
      </c>
      <c r="N415" s="514" t="s">
        <v>2</v>
      </c>
      <c r="O415" s="515"/>
      <c r="P415" s="515"/>
      <c r="Q415" s="515"/>
      <c r="R415" s="515"/>
      <c r="S415" s="516"/>
      <c r="T415" s="295"/>
      <c r="U415" s="296"/>
      <c r="V415" s="297"/>
    </row>
    <row r="416" spans="1:22" s="1" customFormat="1" ht="33.75" thickBot="1" x14ac:dyDescent="0.25">
      <c r="A416" s="212"/>
      <c r="B416" s="268" t="s">
        <v>6</v>
      </c>
      <c r="C416" s="173" t="s">
        <v>144</v>
      </c>
      <c r="D416" s="173" t="s">
        <v>139</v>
      </c>
      <c r="E416" s="173" t="s">
        <v>145</v>
      </c>
      <c r="F416" s="174" t="s">
        <v>140</v>
      </c>
      <c r="G416" s="175" t="s">
        <v>9</v>
      </c>
      <c r="H416" s="173" t="s">
        <v>136</v>
      </c>
      <c r="I416" s="173" t="s">
        <v>135</v>
      </c>
      <c r="J416" s="173" t="s">
        <v>134</v>
      </c>
      <c r="K416" s="174" t="s">
        <v>137</v>
      </c>
      <c r="L416" s="518"/>
      <c r="M416" s="518"/>
      <c r="N416" s="268" t="s">
        <v>10</v>
      </c>
      <c r="O416" s="173" t="s">
        <v>11</v>
      </c>
      <c r="P416" s="173" t="s">
        <v>120</v>
      </c>
      <c r="Q416" s="173" t="s">
        <v>122</v>
      </c>
      <c r="R416" s="173" t="s">
        <v>121</v>
      </c>
      <c r="S416" s="174" t="s">
        <v>116</v>
      </c>
      <c r="T416" s="283" t="s">
        <v>141</v>
      </c>
      <c r="U416" s="173" t="s">
        <v>143</v>
      </c>
      <c r="V416" s="174" t="s">
        <v>142</v>
      </c>
    </row>
    <row r="417" spans="1:22" s="1" customFormat="1" ht="16.5" x14ac:dyDescent="0.2">
      <c r="A417" s="213"/>
      <c r="B417" s="310"/>
      <c r="C417" s="311"/>
      <c r="D417" s="311"/>
      <c r="E417" s="311"/>
      <c r="F417" s="312"/>
      <c r="G417" s="319"/>
      <c r="H417" s="314"/>
      <c r="I417" s="311"/>
      <c r="J417" s="311"/>
      <c r="K417" s="312"/>
      <c r="L417" s="311"/>
      <c r="M417" s="311"/>
      <c r="N417" s="310"/>
      <c r="O417" s="315"/>
      <c r="P417" s="315"/>
      <c r="Q417" s="311"/>
      <c r="R417" s="311"/>
      <c r="S417" s="312"/>
      <c r="T417" s="311"/>
      <c r="U417" s="311"/>
      <c r="V417" s="312"/>
    </row>
    <row r="418" spans="1:22" s="1" customFormat="1" ht="16.5" x14ac:dyDescent="0.25">
      <c r="A418" s="450" t="s">
        <v>263</v>
      </c>
      <c r="B418" s="251" t="s">
        <v>17</v>
      </c>
      <c r="C418" s="166">
        <f>'RETRIBUCIONES 2025'!$F$4</f>
        <v>716.98</v>
      </c>
      <c r="D418" s="166">
        <f>C418*12</f>
        <v>8603.76</v>
      </c>
      <c r="E418" s="166">
        <f>'RETRIBUCIONES 2025'!$F$5*7</f>
        <v>150.22</v>
      </c>
      <c r="F418" s="260">
        <f>E418*12</f>
        <v>1802.6399999999999</v>
      </c>
      <c r="G418" s="307" t="s">
        <v>58</v>
      </c>
      <c r="H418" s="166">
        <f>'RETRIBUCIONES 2025'!$J$14</f>
        <v>445.5</v>
      </c>
      <c r="I418" s="166">
        <f>H418*12</f>
        <v>5346</v>
      </c>
      <c r="J418" s="166">
        <v>606.53</v>
      </c>
      <c r="K418" s="281">
        <f>J418*12</f>
        <v>7278.36</v>
      </c>
      <c r="L418" s="166">
        <f>C418+E418+H418+J418</f>
        <v>1919.23</v>
      </c>
      <c r="M418" s="180">
        <f>D418+F418+I418+K418</f>
        <v>23030.76</v>
      </c>
      <c r="N418" s="219">
        <f>'RETRIBUCIONES 2025'!$F$9</f>
        <v>710.44</v>
      </c>
      <c r="O418" s="166">
        <f>'RETRIBUCIONES 2025'!$F$10*7</f>
        <v>148.67999999999998</v>
      </c>
      <c r="P418" s="180">
        <f>SUM(N418:O418)</f>
        <v>859.12</v>
      </c>
      <c r="Q418" s="285">
        <f>H418</f>
        <v>445.5</v>
      </c>
      <c r="R418" s="285">
        <f>J418</f>
        <v>606.53</v>
      </c>
      <c r="S418" s="281">
        <f>SUM(P418:R418)</f>
        <v>1911.1499999999999</v>
      </c>
      <c r="T418" s="180">
        <f>M418+S418*2</f>
        <v>26853.059999999998</v>
      </c>
      <c r="U418" s="180">
        <f>T418*0.33</f>
        <v>8861.5097999999998</v>
      </c>
      <c r="V418" s="260">
        <f>SUM(T418:U418)</f>
        <v>35714.569799999997</v>
      </c>
    </row>
    <row r="419" spans="1:22" s="1" customFormat="1" ht="16.5" x14ac:dyDescent="0.25">
      <c r="A419" s="213"/>
      <c r="B419" s="310"/>
      <c r="C419" s="311"/>
      <c r="D419" s="166"/>
      <c r="E419" s="311"/>
      <c r="F419" s="260"/>
      <c r="G419" s="320"/>
      <c r="H419" s="311"/>
      <c r="I419" s="166"/>
      <c r="J419" s="311"/>
      <c r="K419" s="281"/>
      <c r="L419" s="166"/>
      <c r="M419" s="180"/>
      <c r="N419" s="310"/>
      <c r="O419" s="311"/>
      <c r="P419" s="311"/>
      <c r="Q419" s="285"/>
      <c r="R419" s="285"/>
      <c r="S419" s="281"/>
      <c r="T419" s="180"/>
      <c r="U419" s="180"/>
      <c r="V419" s="260"/>
    </row>
    <row r="420" spans="1:22" s="1" customFormat="1" ht="15.6" customHeight="1" x14ac:dyDescent="0.25">
      <c r="A420" s="450" t="s">
        <v>264</v>
      </c>
      <c r="B420" s="251" t="s">
        <v>17</v>
      </c>
      <c r="C420" s="166">
        <f>'RETRIBUCIONES 2025'!$F$4</f>
        <v>716.98</v>
      </c>
      <c r="D420" s="166">
        <f t="shared" ref="D420:D426" si="146">C420*12</f>
        <v>8603.76</v>
      </c>
      <c r="E420" s="166">
        <v>0</v>
      </c>
      <c r="F420" s="260">
        <f t="shared" ref="F420:F426" si="147">E420*12</f>
        <v>0</v>
      </c>
      <c r="G420" s="220">
        <v>17</v>
      </c>
      <c r="H420" s="166">
        <f>'RETRIBUCIONES 2025'!$J$14</f>
        <v>445.5</v>
      </c>
      <c r="I420" s="166">
        <f t="shared" ref="I420:I426" si="148">H420*12</f>
        <v>5346</v>
      </c>
      <c r="J420" s="166">
        <v>1029.19</v>
      </c>
      <c r="K420" s="281">
        <f t="shared" ref="K420:K426" si="149">J420*12</f>
        <v>12350.28</v>
      </c>
      <c r="L420" s="166">
        <f t="shared" ref="L420:L426" si="150">C420+E420+H420+J420</f>
        <v>2191.67</v>
      </c>
      <c r="M420" s="180">
        <f t="shared" ref="M420:M426" si="151">D420+F420+I420+K420</f>
        <v>26300.04</v>
      </c>
      <c r="N420" s="219">
        <f>'RETRIBUCIONES 2025'!$F$9</f>
        <v>710.44</v>
      </c>
      <c r="O420" s="285">
        <v>0</v>
      </c>
      <c r="P420" s="285">
        <f>SUM(N420:O420)</f>
        <v>710.44</v>
      </c>
      <c r="Q420" s="285">
        <f t="shared" ref="Q420:Q426" si="152">H420</f>
        <v>445.5</v>
      </c>
      <c r="R420" s="285">
        <f t="shared" ref="R420:R426" si="153">J420</f>
        <v>1029.19</v>
      </c>
      <c r="S420" s="281">
        <f t="shared" ref="S420:S426" si="154">SUM(P420:R420)</f>
        <v>2185.13</v>
      </c>
      <c r="T420" s="180">
        <f t="shared" ref="T420:T426" si="155">M420+S420*2</f>
        <v>30670.300000000003</v>
      </c>
      <c r="U420" s="180">
        <f t="shared" ref="U420:U426" si="156">T420*0.33</f>
        <v>10121.199000000002</v>
      </c>
      <c r="V420" s="260">
        <f t="shared" ref="V420:V426" si="157">SUM(T420:U420)</f>
        <v>40791.499000000003</v>
      </c>
    </row>
    <row r="421" spans="1:22" s="4" customFormat="1" ht="16.5" x14ac:dyDescent="0.25">
      <c r="A421" s="454"/>
      <c r="B421" s="251"/>
      <c r="C421" s="166"/>
      <c r="D421" s="166"/>
      <c r="E421" s="166"/>
      <c r="F421" s="260"/>
      <c r="G421" s="220"/>
      <c r="H421" s="166"/>
      <c r="I421" s="166"/>
      <c r="J421" s="166"/>
      <c r="K421" s="281"/>
      <c r="L421" s="166"/>
      <c r="M421" s="180"/>
      <c r="N421" s="219"/>
      <c r="O421" s="294"/>
      <c r="P421" s="294"/>
      <c r="Q421" s="285"/>
      <c r="R421" s="285"/>
      <c r="S421" s="281"/>
      <c r="T421" s="180"/>
      <c r="U421" s="180"/>
      <c r="V421" s="260"/>
    </row>
    <row r="422" spans="1:22" s="4" customFormat="1" ht="16.5" x14ac:dyDescent="0.25">
      <c r="A422" s="450" t="s">
        <v>264</v>
      </c>
      <c r="B422" s="251" t="s">
        <v>17</v>
      </c>
      <c r="C422" s="166">
        <f>'RETRIBUCIONES 2025'!$F$4</f>
        <v>716.98</v>
      </c>
      <c r="D422" s="166">
        <f t="shared" si="146"/>
        <v>8603.76</v>
      </c>
      <c r="E422" s="166">
        <f>'RETRIBUCIONES 2025'!$F$5*5</f>
        <v>107.30000000000001</v>
      </c>
      <c r="F422" s="260">
        <f t="shared" si="147"/>
        <v>1287.6000000000001</v>
      </c>
      <c r="G422" s="220">
        <v>17</v>
      </c>
      <c r="H422" s="166">
        <f>'RETRIBUCIONES 2025'!$J$14</f>
        <v>445.5</v>
      </c>
      <c r="I422" s="166">
        <f t="shared" si="148"/>
        <v>5346</v>
      </c>
      <c r="J422" s="166">
        <v>606.53</v>
      </c>
      <c r="K422" s="281">
        <f t="shared" si="149"/>
        <v>7278.36</v>
      </c>
      <c r="L422" s="166">
        <f t="shared" si="150"/>
        <v>1876.31</v>
      </c>
      <c r="M422" s="180">
        <f t="shared" si="151"/>
        <v>22515.72</v>
      </c>
      <c r="N422" s="219">
        <f>'RETRIBUCIONES 2025'!$F$9</f>
        <v>710.44</v>
      </c>
      <c r="O422" s="166">
        <f>'RETRIBUCIONES 2025'!$F$10*5</f>
        <v>106.19999999999999</v>
      </c>
      <c r="P422" s="285">
        <f>SUM(N422:O422)</f>
        <v>816.6400000000001</v>
      </c>
      <c r="Q422" s="285">
        <f t="shared" si="152"/>
        <v>445.5</v>
      </c>
      <c r="R422" s="285">
        <f t="shared" si="153"/>
        <v>606.53</v>
      </c>
      <c r="S422" s="281">
        <f t="shared" si="154"/>
        <v>1868.67</v>
      </c>
      <c r="T422" s="180">
        <f t="shared" si="155"/>
        <v>26253.06</v>
      </c>
      <c r="U422" s="180">
        <f t="shared" si="156"/>
        <v>8663.5098000000016</v>
      </c>
      <c r="V422" s="260">
        <f t="shared" si="157"/>
        <v>34916.569800000005</v>
      </c>
    </row>
    <row r="423" spans="1:22" s="4" customFormat="1" ht="16.5" x14ac:dyDescent="0.25">
      <c r="A423" s="454"/>
      <c r="B423" s="251"/>
      <c r="C423" s="166"/>
      <c r="D423" s="166"/>
      <c r="E423" s="166"/>
      <c r="F423" s="260"/>
      <c r="G423" s="220"/>
      <c r="H423" s="166"/>
      <c r="I423" s="166"/>
      <c r="J423" s="166"/>
      <c r="K423" s="281"/>
      <c r="L423" s="166"/>
      <c r="M423" s="180"/>
      <c r="N423" s="219"/>
      <c r="O423" s="285"/>
      <c r="P423" s="285"/>
      <c r="Q423" s="285"/>
      <c r="R423" s="285"/>
      <c r="S423" s="281"/>
      <c r="T423" s="180"/>
      <c r="U423" s="180"/>
      <c r="V423" s="260"/>
    </row>
    <row r="424" spans="1:22" s="1" customFormat="1" ht="16.5" x14ac:dyDescent="0.25">
      <c r="A424" s="455" t="s">
        <v>21</v>
      </c>
      <c r="B424" s="255"/>
      <c r="C424" s="183">
        <f>SUM(C418:C422)</f>
        <v>2150.94</v>
      </c>
      <c r="D424" s="183">
        <f t="shared" ref="D424:V424" si="158">SUM(D418:D422)</f>
        <v>25811.279999999999</v>
      </c>
      <c r="E424" s="183">
        <f t="shared" si="158"/>
        <v>257.52</v>
      </c>
      <c r="F424" s="232">
        <f t="shared" si="158"/>
        <v>3090.24</v>
      </c>
      <c r="G424" s="187"/>
      <c r="H424" s="183">
        <f t="shared" si="158"/>
        <v>1336.5</v>
      </c>
      <c r="I424" s="183">
        <f t="shared" si="158"/>
        <v>16038</v>
      </c>
      <c r="J424" s="183">
        <f t="shared" si="158"/>
        <v>2242.25</v>
      </c>
      <c r="K424" s="232">
        <f t="shared" si="158"/>
        <v>26907</v>
      </c>
      <c r="L424" s="183">
        <f t="shared" si="158"/>
        <v>5987.2099999999991</v>
      </c>
      <c r="M424" s="183">
        <f t="shared" si="158"/>
        <v>71846.52</v>
      </c>
      <c r="N424" s="187">
        <f t="shared" si="158"/>
        <v>2131.3200000000002</v>
      </c>
      <c r="O424" s="183">
        <f t="shared" si="158"/>
        <v>254.87999999999997</v>
      </c>
      <c r="P424" s="183">
        <f t="shared" si="158"/>
        <v>2386.1999999999998</v>
      </c>
      <c r="Q424" s="183">
        <f t="shared" si="158"/>
        <v>1336.5</v>
      </c>
      <c r="R424" s="183">
        <f t="shared" si="158"/>
        <v>2242.25</v>
      </c>
      <c r="S424" s="232">
        <f t="shared" si="158"/>
        <v>5964.95</v>
      </c>
      <c r="T424" s="183">
        <f t="shared" si="158"/>
        <v>83776.42</v>
      </c>
      <c r="U424" s="183">
        <f t="shared" si="158"/>
        <v>27646.2186</v>
      </c>
      <c r="V424" s="232">
        <f t="shared" si="158"/>
        <v>111422.63860000001</v>
      </c>
    </row>
    <row r="425" spans="1:22" s="1" customFormat="1" ht="16.5" x14ac:dyDescent="0.25">
      <c r="A425" s="454"/>
      <c r="B425" s="251"/>
      <c r="C425" s="166"/>
      <c r="D425" s="166"/>
      <c r="E425" s="166"/>
      <c r="F425" s="260"/>
      <c r="G425" s="220"/>
      <c r="H425" s="166"/>
      <c r="I425" s="166"/>
      <c r="J425" s="166"/>
      <c r="K425" s="281"/>
      <c r="L425" s="166"/>
      <c r="M425" s="180"/>
      <c r="N425" s="305"/>
      <c r="O425" s="285"/>
      <c r="P425" s="285"/>
      <c r="Q425" s="285"/>
      <c r="R425" s="285"/>
      <c r="S425" s="281"/>
      <c r="T425" s="180"/>
      <c r="U425" s="180"/>
      <c r="V425" s="260"/>
    </row>
    <row r="426" spans="1:22" s="1" customFormat="1" ht="16.5" x14ac:dyDescent="0.25">
      <c r="A426" s="450" t="s">
        <v>262</v>
      </c>
      <c r="B426" s="310" t="s">
        <v>26</v>
      </c>
      <c r="C426" s="180">
        <f>'RETRIBUCIONES 2025'!$G$4</f>
        <v>656.23</v>
      </c>
      <c r="D426" s="166">
        <f t="shared" si="146"/>
        <v>7874.76</v>
      </c>
      <c r="E426" s="180">
        <f>'RETRIBUCIONES 2025'!$G$5*5</f>
        <v>80.8</v>
      </c>
      <c r="F426" s="260">
        <f t="shared" si="147"/>
        <v>969.59999999999991</v>
      </c>
      <c r="G426" s="307">
        <v>14</v>
      </c>
      <c r="H426" s="180">
        <f>'RETRIBUCIONES 2025'!$G$14</f>
        <v>364.97</v>
      </c>
      <c r="I426" s="166">
        <f t="shared" si="148"/>
        <v>4379.6400000000003</v>
      </c>
      <c r="J426" s="180">
        <v>606.53</v>
      </c>
      <c r="K426" s="281">
        <f t="shared" si="149"/>
        <v>7278.36</v>
      </c>
      <c r="L426" s="166">
        <f t="shared" si="150"/>
        <v>1708.53</v>
      </c>
      <c r="M426" s="180">
        <f t="shared" si="151"/>
        <v>20502.36</v>
      </c>
      <c r="N426" s="179">
        <f>'RETRIBUCIONES 2025'!$G$9</f>
        <v>656.23</v>
      </c>
      <c r="O426" s="180">
        <f>'RETRIBUCIONES 2025'!$G$10*5</f>
        <v>80.8</v>
      </c>
      <c r="P426" s="308">
        <f>SUM(N426:O426)</f>
        <v>737.03</v>
      </c>
      <c r="Q426" s="285">
        <f t="shared" si="152"/>
        <v>364.97</v>
      </c>
      <c r="R426" s="285">
        <f t="shared" si="153"/>
        <v>606.53</v>
      </c>
      <c r="S426" s="281">
        <f t="shared" si="154"/>
        <v>1708.53</v>
      </c>
      <c r="T426" s="180">
        <f t="shared" si="155"/>
        <v>23919.420000000002</v>
      </c>
      <c r="U426" s="180">
        <f t="shared" si="156"/>
        <v>7893.4086000000007</v>
      </c>
      <c r="V426" s="260">
        <f t="shared" si="157"/>
        <v>31812.828600000001</v>
      </c>
    </row>
    <row r="427" spans="1:22" s="1" customFormat="1" ht="16.5" x14ac:dyDescent="0.25">
      <c r="A427" s="454"/>
      <c r="B427" s="251"/>
      <c r="C427" s="166"/>
      <c r="D427" s="166"/>
      <c r="E427" s="166"/>
      <c r="F427" s="260"/>
      <c r="G427" s="220"/>
      <c r="H427" s="166"/>
      <c r="I427" s="166"/>
      <c r="J427" s="166"/>
      <c r="K427" s="281"/>
      <c r="L427" s="166"/>
      <c r="M427" s="180"/>
      <c r="N427" s="219"/>
      <c r="O427" s="294"/>
      <c r="P427" s="294"/>
      <c r="Q427" s="285"/>
      <c r="R427" s="285"/>
      <c r="S427" s="281"/>
      <c r="T427" s="180"/>
      <c r="U427" s="180"/>
      <c r="V427" s="260"/>
    </row>
    <row r="428" spans="1:22" s="1" customFormat="1" ht="16.5" x14ac:dyDescent="0.25">
      <c r="A428" s="455" t="s">
        <v>42</v>
      </c>
      <c r="B428" s="255"/>
      <c r="C428" s="183">
        <f>SUM(C426:C427)</f>
        <v>656.23</v>
      </c>
      <c r="D428" s="183">
        <f t="shared" ref="D428:V428" si="159">SUM(D426:D427)</f>
        <v>7874.76</v>
      </c>
      <c r="E428" s="183">
        <f t="shared" si="159"/>
        <v>80.8</v>
      </c>
      <c r="F428" s="232">
        <f t="shared" si="159"/>
        <v>969.59999999999991</v>
      </c>
      <c r="G428" s="187"/>
      <c r="H428" s="183">
        <f t="shared" si="159"/>
        <v>364.97</v>
      </c>
      <c r="I428" s="183">
        <f t="shared" si="159"/>
        <v>4379.6400000000003</v>
      </c>
      <c r="J428" s="183">
        <f t="shared" si="159"/>
        <v>606.53</v>
      </c>
      <c r="K428" s="232">
        <f t="shared" si="159"/>
        <v>7278.36</v>
      </c>
      <c r="L428" s="183">
        <f t="shared" si="159"/>
        <v>1708.53</v>
      </c>
      <c r="M428" s="183">
        <f t="shared" si="159"/>
        <v>20502.36</v>
      </c>
      <c r="N428" s="187">
        <f t="shared" si="159"/>
        <v>656.23</v>
      </c>
      <c r="O428" s="183">
        <f t="shared" si="159"/>
        <v>80.8</v>
      </c>
      <c r="P428" s="183">
        <f t="shared" si="159"/>
        <v>737.03</v>
      </c>
      <c r="Q428" s="183">
        <f t="shared" si="159"/>
        <v>364.97</v>
      </c>
      <c r="R428" s="183">
        <f t="shared" si="159"/>
        <v>606.53</v>
      </c>
      <c r="S428" s="232">
        <f t="shared" si="159"/>
        <v>1708.53</v>
      </c>
      <c r="T428" s="183">
        <f t="shared" si="159"/>
        <v>23919.420000000002</v>
      </c>
      <c r="U428" s="183">
        <f t="shared" si="159"/>
        <v>7893.4086000000007</v>
      </c>
      <c r="V428" s="232">
        <f t="shared" si="159"/>
        <v>31812.828600000001</v>
      </c>
    </row>
    <row r="429" spans="1:22" s="1" customFormat="1" ht="16.5" x14ac:dyDescent="0.25">
      <c r="A429" s="453"/>
      <c r="B429" s="256"/>
      <c r="C429" s="188"/>
      <c r="D429" s="188"/>
      <c r="E429" s="188"/>
      <c r="F429" s="235"/>
      <c r="G429" s="189"/>
      <c r="H429" s="236"/>
      <c r="I429" s="188"/>
      <c r="J429" s="188"/>
      <c r="K429" s="235"/>
      <c r="L429" s="188"/>
      <c r="M429" s="294"/>
      <c r="N429" s="305"/>
      <c r="O429" s="294"/>
      <c r="P429" s="294"/>
      <c r="Q429" s="294"/>
      <c r="R429" s="294"/>
      <c r="S429" s="304"/>
      <c r="T429" s="294"/>
      <c r="U429" s="294"/>
      <c r="V429" s="304"/>
    </row>
    <row r="430" spans="1:22" s="33" customFormat="1" ht="20.100000000000001" customHeight="1" x14ac:dyDescent="0.25">
      <c r="A430" s="469" t="s">
        <v>43</v>
      </c>
      <c r="B430" s="321"/>
      <c r="C430" s="270">
        <f>C424+C428</f>
        <v>2807.17</v>
      </c>
      <c r="D430" s="270">
        <f t="shared" ref="D430:V430" si="160">D424+D428</f>
        <v>33686.04</v>
      </c>
      <c r="E430" s="270">
        <f t="shared" si="160"/>
        <v>338.32</v>
      </c>
      <c r="F430" s="271">
        <f t="shared" si="160"/>
        <v>4059.8399999999997</v>
      </c>
      <c r="G430" s="272"/>
      <c r="H430" s="270">
        <f t="shared" si="160"/>
        <v>1701.47</v>
      </c>
      <c r="I430" s="270">
        <f t="shared" si="160"/>
        <v>20417.64</v>
      </c>
      <c r="J430" s="270">
        <f t="shared" si="160"/>
        <v>2848.7799999999997</v>
      </c>
      <c r="K430" s="271">
        <f t="shared" si="160"/>
        <v>34185.360000000001</v>
      </c>
      <c r="L430" s="270">
        <f t="shared" si="160"/>
        <v>7695.7399999999989</v>
      </c>
      <c r="M430" s="270">
        <f t="shared" si="160"/>
        <v>92348.88</v>
      </c>
      <c r="N430" s="272">
        <f t="shared" si="160"/>
        <v>2787.55</v>
      </c>
      <c r="O430" s="270">
        <f t="shared" si="160"/>
        <v>335.67999999999995</v>
      </c>
      <c r="P430" s="270">
        <f t="shared" si="160"/>
        <v>3123.2299999999996</v>
      </c>
      <c r="Q430" s="270">
        <f t="shared" si="160"/>
        <v>1701.47</v>
      </c>
      <c r="R430" s="270">
        <f t="shared" si="160"/>
        <v>2848.7799999999997</v>
      </c>
      <c r="S430" s="271">
        <f t="shared" si="160"/>
        <v>7673.48</v>
      </c>
      <c r="T430" s="270">
        <f t="shared" si="160"/>
        <v>107695.84</v>
      </c>
      <c r="U430" s="270">
        <f t="shared" si="160"/>
        <v>35539.627200000003</v>
      </c>
      <c r="V430" s="271">
        <f t="shared" si="160"/>
        <v>143235.46720000001</v>
      </c>
    </row>
    <row r="431" spans="1:22" s="1" customFormat="1" ht="17.25" thickBot="1" x14ac:dyDescent="0.3">
      <c r="A431" s="457"/>
      <c r="B431" s="288"/>
      <c r="C431" s="226"/>
      <c r="D431" s="226"/>
      <c r="E431" s="226"/>
      <c r="F431" s="275"/>
      <c r="G431" s="276"/>
      <c r="H431" s="277"/>
      <c r="I431" s="274"/>
      <c r="J431" s="274"/>
      <c r="K431" s="275"/>
      <c r="L431" s="274"/>
      <c r="M431" s="274"/>
      <c r="N431" s="278"/>
      <c r="O431" s="274"/>
      <c r="P431" s="274"/>
      <c r="Q431" s="274"/>
      <c r="R431" s="290"/>
      <c r="S431" s="301"/>
      <c r="T431" s="290" t="s">
        <v>189</v>
      </c>
      <c r="U431" s="290" t="s">
        <v>190</v>
      </c>
      <c r="V431" s="301"/>
    </row>
    <row r="432" spans="1:22" s="1" customFormat="1" ht="17.25" thickBot="1" x14ac:dyDescent="0.3">
      <c r="A432" s="453"/>
      <c r="B432" s="293"/>
      <c r="C432" s="166"/>
      <c r="D432" s="166"/>
      <c r="E432" s="166"/>
      <c r="F432" s="188"/>
      <c r="G432" s="210"/>
      <c r="H432" s="165"/>
      <c r="I432" s="166"/>
      <c r="J432" s="166"/>
      <c r="K432" s="166"/>
      <c r="L432" s="166"/>
      <c r="M432" s="294"/>
      <c r="N432" s="294"/>
      <c r="O432" s="294"/>
      <c r="P432" s="294"/>
      <c r="Q432" s="294"/>
      <c r="R432" s="294"/>
      <c r="S432" s="294"/>
      <c r="T432" s="294"/>
      <c r="U432" s="294"/>
      <c r="V432" s="304"/>
    </row>
    <row r="433" spans="1:23" s="1" customFormat="1" ht="16.5" x14ac:dyDescent="0.25">
      <c r="A433" s="543" t="s">
        <v>44</v>
      </c>
      <c r="B433" s="544"/>
      <c r="C433" s="544"/>
      <c r="D433" s="544"/>
      <c r="E433" s="544"/>
      <c r="F433" s="544"/>
      <c r="G433" s="544"/>
      <c r="H433" s="544"/>
      <c r="I433" s="544"/>
      <c r="J433" s="544"/>
      <c r="K433" s="544"/>
      <c r="L433" s="544"/>
      <c r="M433" s="544"/>
      <c r="N433" s="544"/>
      <c r="O433" s="544"/>
      <c r="P433" s="544"/>
      <c r="Q433" s="544"/>
      <c r="R433" s="544"/>
      <c r="S433" s="544"/>
      <c r="T433" s="544"/>
      <c r="U433" s="544"/>
      <c r="V433" s="545"/>
    </row>
    <row r="434" spans="1:23" s="1" customFormat="1" ht="17.25" thickBot="1" x14ac:dyDescent="0.25">
      <c r="A434" s="540">
        <v>231</v>
      </c>
      <c r="B434" s="541"/>
      <c r="C434" s="541"/>
      <c r="D434" s="541"/>
      <c r="E434" s="541"/>
      <c r="F434" s="541"/>
      <c r="G434" s="541"/>
      <c r="H434" s="541"/>
      <c r="I434" s="541"/>
      <c r="J434" s="541"/>
      <c r="K434" s="541"/>
      <c r="L434" s="541"/>
      <c r="M434" s="541"/>
      <c r="N434" s="541"/>
      <c r="O434" s="541"/>
      <c r="P434" s="541"/>
      <c r="Q434" s="541"/>
      <c r="R434" s="541"/>
      <c r="S434" s="541"/>
      <c r="T434" s="541"/>
      <c r="U434" s="541"/>
      <c r="V434" s="542"/>
    </row>
    <row r="435" spans="1:23" s="1" customFormat="1" ht="16.5" x14ac:dyDescent="0.25">
      <c r="A435" s="452"/>
      <c r="B435" s="529" t="s">
        <v>123</v>
      </c>
      <c r="C435" s="530"/>
      <c r="D435" s="530"/>
      <c r="E435" s="530"/>
      <c r="F435" s="531"/>
      <c r="G435" s="532" t="s">
        <v>124</v>
      </c>
      <c r="H435" s="532"/>
      <c r="I435" s="532"/>
      <c r="J435" s="532"/>
      <c r="K435" s="532"/>
      <c r="L435" s="533" t="s">
        <v>132</v>
      </c>
      <c r="M435" s="535" t="s">
        <v>133</v>
      </c>
      <c r="N435" s="515" t="s">
        <v>2</v>
      </c>
      <c r="O435" s="515"/>
      <c r="P435" s="515"/>
      <c r="Q435" s="515"/>
      <c r="R435" s="515"/>
      <c r="S435" s="515"/>
      <c r="T435" s="302"/>
      <c r="U435" s="296"/>
      <c r="V435" s="297"/>
    </row>
    <row r="436" spans="1:23" s="1" customFormat="1" ht="33.75" thickBot="1" x14ac:dyDescent="0.25">
      <c r="A436" s="212"/>
      <c r="B436" s="268" t="s">
        <v>6</v>
      </c>
      <c r="C436" s="173" t="s">
        <v>144</v>
      </c>
      <c r="D436" s="173" t="s">
        <v>139</v>
      </c>
      <c r="E436" s="173" t="s">
        <v>145</v>
      </c>
      <c r="F436" s="174" t="s">
        <v>140</v>
      </c>
      <c r="G436" s="200" t="s">
        <v>9</v>
      </c>
      <c r="H436" s="173" t="s">
        <v>136</v>
      </c>
      <c r="I436" s="173" t="s">
        <v>135</v>
      </c>
      <c r="J436" s="173" t="s">
        <v>134</v>
      </c>
      <c r="K436" s="173" t="s">
        <v>137</v>
      </c>
      <c r="L436" s="534"/>
      <c r="M436" s="536"/>
      <c r="N436" s="173" t="s">
        <v>10</v>
      </c>
      <c r="O436" s="173" t="s">
        <v>11</v>
      </c>
      <c r="P436" s="173" t="s">
        <v>120</v>
      </c>
      <c r="Q436" s="173" t="s">
        <v>122</v>
      </c>
      <c r="R436" s="173" t="s">
        <v>121</v>
      </c>
      <c r="S436" s="173" t="s">
        <v>116</v>
      </c>
      <c r="T436" s="303" t="s">
        <v>141</v>
      </c>
      <c r="U436" s="173" t="s">
        <v>143</v>
      </c>
      <c r="V436" s="174" t="s">
        <v>142</v>
      </c>
    </row>
    <row r="437" spans="1:23" s="1" customFormat="1" ht="16.5" x14ac:dyDescent="0.2">
      <c r="A437" s="213"/>
      <c r="B437" s="269"/>
      <c r="C437" s="214"/>
      <c r="D437" s="214"/>
      <c r="E437" s="214"/>
      <c r="F437" s="215"/>
      <c r="G437" s="231"/>
      <c r="H437" s="217"/>
      <c r="I437" s="214"/>
      <c r="J437" s="214"/>
      <c r="K437" s="214"/>
      <c r="L437" s="269"/>
      <c r="M437" s="215"/>
      <c r="N437" s="214"/>
      <c r="O437" s="284"/>
      <c r="P437" s="284"/>
      <c r="Q437" s="214"/>
      <c r="R437" s="214"/>
      <c r="S437" s="214"/>
      <c r="T437" s="269"/>
      <c r="U437" s="214"/>
      <c r="V437" s="215"/>
    </row>
    <row r="438" spans="1:23" s="71" customFormat="1" ht="16.5" x14ac:dyDescent="0.25">
      <c r="A438" s="450" t="s">
        <v>265</v>
      </c>
      <c r="B438" s="251" t="s">
        <v>17</v>
      </c>
      <c r="C438" s="166">
        <f>'RETRIBUCIONES 2025'!$F$4</f>
        <v>716.98</v>
      </c>
      <c r="D438" s="166">
        <f>C438*12</f>
        <v>8603.76</v>
      </c>
      <c r="E438" s="166">
        <f>'RETRIBUCIONES 2025'!$F$5*7</f>
        <v>150.22</v>
      </c>
      <c r="F438" s="177">
        <f>E438*12</f>
        <v>1802.6399999999999</v>
      </c>
      <c r="G438" s="165">
        <v>17</v>
      </c>
      <c r="H438" s="166">
        <f>'RETRIBUCIONES 2025'!$J$14</f>
        <v>445.5</v>
      </c>
      <c r="I438" s="166">
        <f>H438*12</f>
        <v>5346</v>
      </c>
      <c r="J438" s="166">
        <v>485.34</v>
      </c>
      <c r="K438" s="285">
        <f>J438*12</f>
        <v>5824.08</v>
      </c>
      <c r="L438" s="205">
        <f>C438+E438+H438+J438</f>
        <v>1798.04</v>
      </c>
      <c r="M438" s="177">
        <f>D40+F438+I438+K438</f>
        <v>21576.48</v>
      </c>
      <c r="N438" s="285">
        <f>'RETRIBUCIONES 2025'!$F$9</f>
        <v>710.44</v>
      </c>
      <c r="O438" s="166">
        <f>'RETRIBUCIONES 2025'!$F$10*7</f>
        <v>148.67999999999998</v>
      </c>
      <c r="P438" s="285">
        <f>SUM(N438:O438)</f>
        <v>859.12</v>
      </c>
      <c r="Q438" s="285">
        <f>H438</f>
        <v>445.5</v>
      </c>
      <c r="R438" s="285">
        <f>J438</f>
        <v>485.34</v>
      </c>
      <c r="S438" s="285">
        <f>SUM(P438:R438)</f>
        <v>1789.9599999999998</v>
      </c>
      <c r="T438" s="219">
        <f>M438+S438*2</f>
        <v>25156.399999999998</v>
      </c>
      <c r="U438" s="285">
        <f>T438*0.33</f>
        <v>8301.6119999999992</v>
      </c>
      <c r="V438" s="281">
        <f>SUM(T438:U438)</f>
        <v>33458.011999999995</v>
      </c>
    </row>
    <row r="439" spans="1:23" s="1" customFormat="1" ht="16.5" x14ac:dyDescent="0.25">
      <c r="A439" s="454"/>
      <c r="B439" s="251"/>
      <c r="C439" s="166"/>
      <c r="D439" s="166"/>
      <c r="E439" s="166"/>
      <c r="F439" s="177"/>
      <c r="G439" s="165"/>
      <c r="H439" s="166"/>
      <c r="I439" s="166"/>
      <c r="J439" s="166"/>
      <c r="K439" s="285"/>
      <c r="L439" s="205"/>
      <c r="M439" s="281"/>
      <c r="N439" s="285"/>
      <c r="O439" s="294"/>
      <c r="P439" s="294"/>
      <c r="Q439" s="285"/>
      <c r="R439" s="285"/>
      <c r="S439" s="285"/>
      <c r="T439" s="305"/>
      <c r="U439" s="294"/>
      <c r="V439" s="304"/>
    </row>
    <row r="440" spans="1:23" s="33" customFormat="1" ht="20.100000000000001" customHeight="1" x14ac:dyDescent="0.25">
      <c r="A440" s="469" t="s">
        <v>70</v>
      </c>
      <c r="B440" s="286"/>
      <c r="C440" s="270">
        <f>SUM(C438:C439)</f>
        <v>716.98</v>
      </c>
      <c r="D440" s="270">
        <f t="shared" ref="D440:V440" si="161">SUM(D438:D439)</f>
        <v>8603.76</v>
      </c>
      <c r="E440" s="270">
        <f t="shared" si="161"/>
        <v>150.22</v>
      </c>
      <c r="F440" s="271">
        <f t="shared" si="161"/>
        <v>1802.6399999999999</v>
      </c>
      <c r="G440" s="270"/>
      <c r="H440" s="270">
        <f t="shared" si="161"/>
        <v>445.5</v>
      </c>
      <c r="I440" s="270">
        <f t="shared" si="161"/>
        <v>5346</v>
      </c>
      <c r="J440" s="270">
        <f t="shared" si="161"/>
        <v>485.34</v>
      </c>
      <c r="K440" s="270">
        <f t="shared" si="161"/>
        <v>5824.08</v>
      </c>
      <c r="L440" s="272">
        <f t="shared" si="161"/>
        <v>1798.04</v>
      </c>
      <c r="M440" s="271">
        <f t="shared" si="161"/>
        <v>21576.48</v>
      </c>
      <c r="N440" s="270">
        <f t="shared" si="161"/>
        <v>710.44</v>
      </c>
      <c r="O440" s="270">
        <f t="shared" si="161"/>
        <v>148.67999999999998</v>
      </c>
      <c r="P440" s="270">
        <f t="shared" si="161"/>
        <v>859.12</v>
      </c>
      <c r="Q440" s="270">
        <f t="shared" si="161"/>
        <v>445.5</v>
      </c>
      <c r="R440" s="270">
        <f t="shared" si="161"/>
        <v>485.34</v>
      </c>
      <c r="S440" s="270">
        <f t="shared" si="161"/>
        <v>1789.9599999999998</v>
      </c>
      <c r="T440" s="272">
        <f t="shared" si="161"/>
        <v>25156.399999999998</v>
      </c>
      <c r="U440" s="270">
        <f t="shared" si="161"/>
        <v>8301.6119999999992</v>
      </c>
      <c r="V440" s="271">
        <f t="shared" si="161"/>
        <v>33458.011999999995</v>
      </c>
    </row>
    <row r="441" spans="1:23" s="1" customFormat="1" ht="17.25" thickBot="1" x14ac:dyDescent="0.3">
      <c r="A441" s="459"/>
      <c r="B441" s="288"/>
      <c r="C441" s="226"/>
      <c r="D441" s="226" t="s">
        <v>191</v>
      </c>
      <c r="E441" s="226"/>
      <c r="F441" s="226" t="s">
        <v>191</v>
      </c>
      <c r="G441" s="258"/>
      <c r="H441" s="229"/>
      <c r="I441" s="226" t="s">
        <v>204</v>
      </c>
      <c r="J441" s="226"/>
      <c r="K441" s="226" t="s">
        <v>204</v>
      </c>
      <c r="L441" s="273"/>
      <c r="M441" s="289"/>
      <c r="N441" s="291"/>
      <c r="O441" s="290"/>
      <c r="P441" s="290"/>
      <c r="Q441" s="291"/>
      <c r="R441" s="290"/>
      <c r="S441" s="290"/>
      <c r="T441" s="298" t="s">
        <v>205</v>
      </c>
      <c r="U441" s="290" t="s">
        <v>192</v>
      </c>
      <c r="V441" s="301"/>
    </row>
    <row r="442" spans="1:23" s="1" customFormat="1" ht="17.25" thickBot="1" x14ac:dyDescent="0.3">
      <c r="A442" s="454"/>
      <c r="B442" s="293"/>
      <c r="C442" s="166"/>
      <c r="D442" s="166"/>
      <c r="E442" s="166"/>
      <c r="F442" s="166"/>
      <c r="G442" s="164"/>
      <c r="H442" s="165"/>
      <c r="I442" s="166"/>
      <c r="J442" s="166"/>
      <c r="K442" s="166"/>
      <c r="L442" s="166"/>
      <c r="M442" s="285"/>
      <c r="N442" s="285"/>
      <c r="O442" s="294"/>
      <c r="P442" s="294"/>
      <c r="Q442" s="285"/>
      <c r="R442" s="294"/>
      <c r="S442" s="294"/>
      <c r="T442" s="294"/>
      <c r="U442" s="294"/>
      <c r="V442" s="304"/>
    </row>
    <row r="443" spans="1:23" s="1" customFormat="1" ht="16.5" x14ac:dyDescent="0.25">
      <c r="A443" s="543" t="s">
        <v>45</v>
      </c>
      <c r="B443" s="544"/>
      <c r="C443" s="544"/>
      <c r="D443" s="544"/>
      <c r="E443" s="544"/>
      <c r="F443" s="544"/>
      <c r="G443" s="544"/>
      <c r="H443" s="544"/>
      <c r="I443" s="544"/>
      <c r="J443" s="544"/>
      <c r="K443" s="544"/>
      <c r="L443" s="544"/>
      <c r="M443" s="544"/>
      <c r="N443" s="544"/>
      <c r="O443" s="544"/>
      <c r="P443" s="544"/>
      <c r="Q443" s="544"/>
      <c r="R443" s="544"/>
      <c r="S443" s="544"/>
      <c r="T443" s="544"/>
      <c r="U443" s="544"/>
      <c r="V443" s="545"/>
    </row>
    <row r="444" spans="1:23" s="1" customFormat="1" ht="17.25" thickBot="1" x14ac:dyDescent="0.25">
      <c r="A444" s="540">
        <v>326</v>
      </c>
      <c r="B444" s="541"/>
      <c r="C444" s="541"/>
      <c r="D444" s="541"/>
      <c r="E444" s="541"/>
      <c r="F444" s="541"/>
      <c r="G444" s="541"/>
      <c r="H444" s="541"/>
      <c r="I444" s="541"/>
      <c r="J444" s="541"/>
      <c r="K444" s="541"/>
      <c r="L444" s="541"/>
      <c r="M444" s="541"/>
      <c r="N444" s="541"/>
      <c r="O444" s="541"/>
      <c r="P444" s="541"/>
      <c r="Q444" s="541"/>
      <c r="R444" s="541"/>
      <c r="S444" s="541"/>
      <c r="T444" s="541"/>
      <c r="U444" s="541"/>
      <c r="V444" s="542"/>
    </row>
    <row r="445" spans="1:23" s="1" customFormat="1" ht="16.5" x14ac:dyDescent="0.25">
      <c r="A445" s="452"/>
      <c r="B445" s="529" t="s">
        <v>123</v>
      </c>
      <c r="C445" s="530"/>
      <c r="D445" s="530"/>
      <c r="E445" s="530"/>
      <c r="F445" s="531"/>
      <c r="G445" s="532" t="s">
        <v>124</v>
      </c>
      <c r="H445" s="532"/>
      <c r="I445" s="532"/>
      <c r="J445" s="532"/>
      <c r="K445" s="532"/>
      <c r="L445" s="533" t="s">
        <v>132</v>
      </c>
      <c r="M445" s="535" t="s">
        <v>133</v>
      </c>
      <c r="N445" s="515" t="s">
        <v>2</v>
      </c>
      <c r="O445" s="515"/>
      <c r="P445" s="515"/>
      <c r="Q445" s="515"/>
      <c r="R445" s="515"/>
      <c r="S445" s="515"/>
      <c r="T445" s="302"/>
      <c r="U445" s="296"/>
      <c r="V445" s="297"/>
      <c r="W445" s="4"/>
    </row>
    <row r="446" spans="1:23" s="1" customFormat="1" ht="33.75" thickBot="1" x14ac:dyDescent="0.25">
      <c r="A446" s="212"/>
      <c r="B446" s="268" t="s">
        <v>6</v>
      </c>
      <c r="C446" s="173" t="s">
        <v>144</v>
      </c>
      <c r="D446" s="173" t="s">
        <v>139</v>
      </c>
      <c r="E446" s="173" t="s">
        <v>145</v>
      </c>
      <c r="F446" s="174" t="s">
        <v>140</v>
      </c>
      <c r="G446" s="200" t="s">
        <v>9</v>
      </c>
      <c r="H446" s="173" t="s">
        <v>136</v>
      </c>
      <c r="I446" s="173" t="s">
        <v>135</v>
      </c>
      <c r="J446" s="173" t="s">
        <v>134</v>
      </c>
      <c r="K446" s="173" t="s">
        <v>137</v>
      </c>
      <c r="L446" s="534"/>
      <c r="M446" s="536"/>
      <c r="N446" s="173" t="s">
        <v>10</v>
      </c>
      <c r="O446" s="173" t="s">
        <v>11</v>
      </c>
      <c r="P446" s="173" t="s">
        <v>120</v>
      </c>
      <c r="Q446" s="173" t="s">
        <v>122</v>
      </c>
      <c r="R446" s="173" t="s">
        <v>121</v>
      </c>
      <c r="S446" s="173" t="s">
        <v>116</v>
      </c>
      <c r="T446" s="303" t="s">
        <v>141</v>
      </c>
      <c r="U446" s="173" t="s">
        <v>143</v>
      </c>
      <c r="V446" s="174" t="s">
        <v>142</v>
      </c>
    </row>
    <row r="447" spans="1:23" s="1" customFormat="1" ht="16.5" x14ac:dyDescent="0.2">
      <c r="A447" s="213"/>
      <c r="B447" s="269"/>
      <c r="C447" s="214"/>
      <c r="D447" s="214"/>
      <c r="E447" s="214"/>
      <c r="F447" s="215"/>
      <c r="G447" s="231"/>
      <c r="H447" s="217"/>
      <c r="I447" s="214"/>
      <c r="J447" s="214"/>
      <c r="K447" s="214"/>
      <c r="L447" s="269"/>
      <c r="M447" s="215"/>
      <c r="N447" s="214"/>
      <c r="O447" s="284"/>
      <c r="P447" s="284"/>
      <c r="Q447" s="214"/>
      <c r="R447" s="214"/>
      <c r="S447" s="214"/>
      <c r="T447" s="269"/>
      <c r="U447" s="214"/>
      <c r="V447" s="215"/>
    </row>
    <row r="448" spans="1:23" s="1" customFormat="1" ht="16.5" x14ac:dyDescent="0.25">
      <c r="A448" s="450" t="s">
        <v>266</v>
      </c>
      <c r="B448" s="251" t="s">
        <v>12</v>
      </c>
      <c r="C448" s="166">
        <f>'RETRIBUCIONES 2025'!B4</f>
        <v>1326.9</v>
      </c>
      <c r="D448" s="166">
        <f>C448*12</f>
        <v>15922.800000000001</v>
      </c>
      <c r="E448" s="166">
        <f>'RETRIBUCIONES 2025'!$B$5*11</f>
        <v>561.77</v>
      </c>
      <c r="F448" s="177">
        <f>E448*12</f>
        <v>6741.24</v>
      </c>
      <c r="G448" s="165">
        <v>24</v>
      </c>
      <c r="H448" s="166">
        <f>'RETRIBUCIONES 2025'!$Q$14</f>
        <v>697.43</v>
      </c>
      <c r="I448" s="166">
        <f>H448*12</f>
        <v>8369.16</v>
      </c>
      <c r="J448" s="166">
        <v>508.74</v>
      </c>
      <c r="K448" s="166">
        <f>J448*12</f>
        <v>6104.88</v>
      </c>
      <c r="L448" s="205">
        <f>C448+E448+H448+J448</f>
        <v>3094.84</v>
      </c>
      <c r="M448" s="177">
        <f>D448+F448+I448+K448</f>
        <v>37138.080000000002</v>
      </c>
      <c r="N448" s="285">
        <f>'RETRIBUCIONES 2025'!$B$9</f>
        <v>818.82</v>
      </c>
      <c r="O448" s="166">
        <f>'RETRIBUCIONES 2025'!$B$10*11</f>
        <v>346.83000000000004</v>
      </c>
      <c r="P448" s="285">
        <f>SUM(N448:O448)</f>
        <v>1165.6500000000001</v>
      </c>
      <c r="Q448" s="285">
        <f>H448</f>
        <v>697.43</v>
      </c>
      <c r="R448" s="285">
        <f>J448</f>
        <v>508.74</v>
      </c>
      <c r="S448" s="285">
        <f>SUM(P448:R448)</f>
        <v>2371.8199999999997</v>
      </c>
      <c r="T448" s="219">
        <f>M448+S448*2</f>
        <v>41881.72</v>
      </c>
      <c r="U448" s="285">
        <f>T448*0.33</f>
        <v>13820.967600000002</v>
      </c>
      <c r="V448" s="281">
        <f>SUM(T448:U448)</f>
        <v>55702.687600000005</v>
      </c>
    </row>
    <row r="449" spans="1:22" s="1" customFormat="1" ht="16.5" x14ac:dyDescent="0.25">
      <c r="A449" s="454"/>
      <c r="B449" s="251"/>
      <c r="C449" s="166"/>
      <c r="D449" s="166"/>
      <c r="E449" s="166"/>
      <c r="F449" s="177"/>
      <c r="G449" s="165"/>
      <c r="H449" s="166"/>
      <c r="I449" s="166"/>
      <c r="J449" s="166"/>
      <c r="K449" s="285"/>
      <c r="L449" s="205"/>
      <c r="M449" s="281"/>
      <c r="N449" s="285"/>
      <c r="O449" s="285"/>
      <c r="P449" s="285"/>
      <c r="Q449" s="285"/>
      <c r="R449" s="285"/>
      <c r="S449" s="285"/>
      <c r="T449" s="219"/>
      <c r="U449" s="285"/>
      <c r="V449" s="281"/>
    </row>
    <row r="450" spans="1:22" s="33" customFormat="1" ht="20.100000000000001" customHeight="1" x14ac:dyDescent="0.25">
      <c r="A450" s="469" t="s">
        <v>82</v>
      </c>
      <c r="B450" s="286"/>
      <c r="C450" s="270">
        <f>SUM(C448:C449)</f>
        <v>1326.9</v>
      </c>
      <c r="D450" s="270">
        <f t="shared" ref="D450:V450" si="162">SUM(D448:D449)</f>
        <v>15922.800000000001</v>
      </c>
      <c r="E450" s="270">
        <f t="shared" si="162"/>
        <v>561.77</v>
      </c>
      <c r="F450" s="271">
        <f t="shared" si="162"/>
        <v>6741.24</v>
      </c>
      <c r="G450" s="270"/>
      <c r="H450" s="270">
        <f t="shared" si="162"/>
        <v>697.43</v>
      </c>
      <c r="I450" s="270">
        <f t="shared" si="162"/>
        <v>8369.16</v>
      </c>
      <c r="J450" s="270">
        <f t="shared" si="162"/>
        <v>508.74</v>
      </c>
      <c r="K450" s="270">
        <f t="shared" si="162"/>
        <v>6104.88</v>
      </c>
      <c r="L450" s="272">
        <f t="shared" si="162"/>
        <v>3094.84</v>
      </c>
      <c r="M450" s="271">
        <f t="shared" si="162"/>
        <v>37138.080000000002</v>
      </c>
      <c r="N450" s="270">
        <f t="shared" si="162"/>
        <v>818.82</v>
      </c>
      <c r="O450" s="270">
        <f t="shared" si="162"/>
        <v>346.83000000000004</v>
      </c>
      <c r="P450" s="270">
        <f t="shared" si="162"/>
        <v>1165.6500000000001</v>
      </c>
      <c r="Q450" s="270">
        <f t="shared" si="162"/>
        <v>697.43</v>
      </c>
      <c r="R450" s="270">
        <f t="shared" si="162"/>
        <v>508.74</v>
      </c>
      <c r="S450" s="270">
        <f t="shared" si="162"/>
        <v>2371.8199999999997</v>
      </c>
      <c r="T450" s="272">
        <f t="shared" si="162"/>
        <v>41881.72</v>
      </c>
      <c r="U450" s="270">
        <f t="shared" si="162"/>
        <v>13820.967600000002</v>
      </c>
      <c r="V450" s="271">
        <f t="shared" si="162"/>
        <v>55702.687600000005</v>
      </c>
    </row>
    <row r="451" spans="1:22" s="1" customFormat="1" ht="17.25" thickBot="1" x14ac:dyDescent="0.3">
      <c r="A451" s="459"/>
      <c r="B451" s="288"/>
      <c r="C451" s="226"/>
      <c r="D451" s="226" t="s">
        <v>193</v>
      </c>
      <c r="E451" s="226"/>
      <c r="F451" s="226" t="s">
        <v>193</v>
      </c>
      <c r="G451" s="258"/>
      <c r="H451" s="229"/>
      <c r="I451" s="226" t="s">
        <v>202</v>
      </c>
      <c r="J451" s="226"/>
      <c r="K451" s="226" t="s">
        <v>202</v>
      </c>
      <c r="L451" s="273"/>
      <c r="M451" s="289"/>
      <c r="N451" s="291"/>
      <c r="O451" s="290"/>
      <c r="P451" s="290"/>
      <c r="Q451" s="291"/>
      <c r="R451" s="291"/>
      <c r="S451" s="291"/>
      <c r="T451" s="299" t="s">
        <v>203</v>
      </c>
      <c r="U451" s="292" t="s">
        <v>194</v>
      </c>
      <c r="V451" s="289"/>
    </row>
    <row r="452" spans="1:22" s="1" customFormat="1" ht="17.25" thickBot="1" x14ac:dyDescent="0.3">
      <c r="A452" s="454"/>
      <c r="B452" s="293"/>
      <c r="C452" s="166"/>
      <c r="D452" s="166"/>
      <c r="E452" s="166"/>
      <c r="F452" s="166"/>
      <c r="G452" s="164"/>
      <c r="H452" s="165"/>
      <c r="I452" s="166"/>
      <c r="J452" s="166"/>
      <c r="K452" s="166"/>
      <c r="L452" s="166"/>
      <c r="M452" s="285"/>
      <c r="N452" s="285"/>
      <c r="O452" s="294"/>
      <c r="P452" s="294"/>
      <c r="Q452" s="285"/>
      <c r="R452" s="285"/>
      <c r="S452" s="285"/>
      <c r="T452" s="285"/>
      <c r="U452" s="285"/>
      <c r="V452" s="281"/>
    </row>
    <row r="453" spans="1:22" s="1" customFormat="1" ht="16.5" x14ac:dyDescent="0.25">
      <c r="A453" s="586" t="s">
        <v>46</v>
      </c>
      <c r="B453" s="587"/>
      <c r="C453" s="587"/>
      <c r="D453" s="587"/>
      <c r="E453" s="587"/>
      <c r="F453" s="587"/>
      <c r="G453" s="587"/>
      <c r="H453" s="587"/>
      <c r="I453" s="587"/>
      <c r="J453" s="587"/>
      <c r="K453" s="587"/>
      <c r="L453" s="587"/>
      <c r="M453" s="587"/>
      <c r="N453" s="587"/>
      <c r="O453" s="587"/>
      <c r="P453" s="587"/>
      <c r="Q453" s="587"/>
      <c r="R453" s="587"/>
      <c r="S453" s="587"/>
      <c r="T453" s="587"/>
      <c r="U453" s="587"/>
      <c r="V453" s="588"/>
    </row>
    <row r="454" spans="1:22" s="1" customFormat="1" ht="17.25" thickBot="1" x14ac:dyDescent="0.3">
      <c r="A454" s="598"/>
      <c r="B454" s="599"/>
      <c r="C454" s="599"/>
      <c r="D454" s="599"/>
      <c r="E454" s="599"/>
      <c r="F454" s="599"/>
      <c r="G454" s="599"/>
      <c r="H454" s="599"/>
      <c r="I454" s="599"/>
      <c r="J454" s="599"/>
      <c r="K454" s="599"/>
      <c r="L454" s="599"/>
      <c r="M454" s="599"/>
      <c r="N454" s="599"/>
      <c r="O454" s="599"/>
      <c r="P454" s="599"/>
      <c r="Q454" s="599"/>
      <c r="R454" s="599"/>
      <c r="S454" s="599"/>
      <c r="T454" s="293"/>
      <c r="U454" s="293"/>
      <c r="V454" s="322"/>
    </row>
    <row r="455" spans="1:22" s="1" customFormat="1" ht="16.5" x14ac:dyDescent="0.25">
      <c r="A455" s="543" t="s">
        <v>47</v>
      </c>
      <c r="B455" s="544"/>
      <c r="C455" s="544"/>
      <c r="D455" s="544"/>
      <c r="E455" s="544"/>
      <c r="F455" s="544"/>
      <c r="G455" s="544"/>
      <c r="H455" s="544"/>
      <c r="I455" s="544"/>
      <c r="J455" s="544"/>
      <c r="K455" s="544"/>
      <c r="L455" s="544"/>
      <c r="M455" s="544"/>
      <c r="N455" s="544"/>
      <c r="O455" s="544"/>
      <c r="P455" s="544"/>
      <c r="Q455" s="544"/>
      <c r="R455" s="544"/>
      <c r="S455" s="544"/>
      <c r="T455" s="544"/>
      <c r="U455" s="544"/>
      <c r="V455" s="545"/>
    </row>
    <row r="456" spans="1:22" s="1" customFormat="1" ht="17.25" thickBot="1" x14ac:dyDescent="0.25">
      <c r="A456" s="579">
        <v>1532</v>
      </c>
      <c r="B456" s="580"/>
      <c r="C456" s="580"/>
      <c r="D456" s="580"/>
      <c r="E456" s="580"/>
      <c r="F456" s="580"/>
      <c r="G456" s="580"/>
      <c r="H456" s="580"/>
      <c r="I456" s="580"/>
      <c r="J456" s="580"/>
      <c r="K456" s="580"/>
      <c r="L456" s="580"/>
      <c r="M456" s="580"/>
      <c r="N456" s="580"/>
      <c r="O456" s="580"/>
      <c r="P456" s="580"/>
      <c r="Q456" s="580"/>
      <c r="R456" s="580"/>
      <c r="S456" s="580"/>
      <c r="T456" s="580"/>
      <c r="U456" s="580"/>
      <c r="V456" s="581"/>
    </row>
    <row r="457" spans="1:22" s="1" customFormat="1" ht="16.5" x14ac:dyDescent="0.25">
      <c r="A457" s="452"/>
      <c r="B457" s="529" t="s">
        <v>123</v>
      </c>
      <c r="C457" s="530"/>
      <c r="D457" s="530"/>
      <c r="E457" s="530"/>
      <c r="F457" s="531"/>
      <c r="G457" s="532" t="s">
        <v>124</v>
      </c>
      <c r="H457" s="532"/>
      <c r="I457" s="532"/>
      <c r="J457" s="532"/>
      <c r="K457" s="532"/>
      <c r="L457" s="533" t="s">
        <v>132</v>
      </c>
      <c r="M457" s="535" t="s">
        <v>133</v>
      </c>
      <c r="N457" s="515" t="s">
        <v>2</v>
      </c>
      <c r="O457" s="515"/>
      <c r="P457" s="515"/>
      <c r="Q457" s="515"/>
      <c r="R457" s="515"/>
      <c r="S457" s="515"/>
      <c r="T457" s="302"/>
      <c r="U457" s="296"/>
      <c r="V457" s="297"/>
    </row>
    <row r="458" spans="1:22" s="1" customFormat="1" ht="33.75" thickBot="1" x14ac:dyDescent="0.25">
      <c r="A458" s="212"/>
      <c r="B458" s="268" t="s">
        <v>6</v>
      </c>
      <c r="C458" s="173" t="s">
        <v>144</v>
      </c>
      <c r="D458" s="173" t="s">
        <v>139</v>
      </c>
      <c r="E458" s="173" t="s">
        <v>145</v>
      </c>
      <c r="F458" s="174" t="s">
        <v>140</v>
      </c>
      <c r="G458" s="200" t="s">
        <v>9</v>
      </c>
      <c r="H458" s="173" t="s">
        <v>136</v>
      </c>
      <c r="I458" s="173" t="s">
        <v>135</v>
      </c>
      <c r="J458" s="173" t="s">
        <v>134</v>
      </c>
      <c r="K458" s="173" t="s">
        <v>137</v>
      </c>
      <c r="L458" s="534"/>
      <c r="M458" s="536"/>
      <c r="N458" s="173" t="s">
        <v>10</v>
      </c>
      <c r="O458" s="173" t="s">
        <v>11</v>
      </c>
      <c r="P458" s="173" t="s">
        <v>120</v>
      </c>
      <c r="Q458" s="173" t="s">
        <v>122</v>
      </c>
      <c r="R458" s="173" t="s">
        <v>121</v>
      </c>
      <c r="S458" s="173" t="s">
        <v>116</v>
      </c>
      <c r="T458" s="303" t="s">
        <v>141</v>
      </c>
      <c r="U458" s="173" t="s">
        <v>143</v>
      </c>
      <c r="V458" s="174" t="s">
        <v>142</v>
      </c>
    </row>
    <row r="459" spans="1:22" s="1" customFormat="1" ht="16.5" x14ac:dyDescent="0.2">
      <c r="A459" s="213"/>
      <c r="B459" s="269"/>
      <c r="C459" s="214"/>
      <c r="D459" s="214"/>
      <c r="E459" s="214"/>
      <c r="F459" s="215"/>
      <c r="G459" s="231"/>
      <c r="H459" s="217"/>
      <c r="I459" s="214"/>
      <c r="J459" s="214"/>
      <c r="K459" s="214"/>
      <c r="L459" s="269"/>
      <c r="M459" s="215"/>
      <c r="N459" s="214"/>
      <c r="O459" s="284"/>
      <c r="P459" s="284"/>
      <c r="Q459" s="214"/>
      <c r="R459" s="214"/>
      <c r="S459" s="214"/>
      <c r="T459" s="269"/>
      <c r="U459" s="214"/>
      <c r="V459" s="215"/>
    </row>
    <row r="460" spans="1:22" s="1" customFormat="1" ht="16.5" x14ac:dyDescent="0.25">
      <c r="A460" s="450" t="s">
        <v>267</v>
      </c>
      <c r="B460" s="251" t="s">
        <v>17</v>
      </c>
      <c r="C460" s="166">
        <f>'RETRIBUCIONES 2025'!$F$4</f>
        <v>716.98</v>
      </c>
      <c r="D460" s="166">
        <f>C460*12</f>
        <v>8603.76</v>
      </c>
      <c r="E460" s="166">
        <f>'RETRIBUCIONES 2025'!$F$5*7</f>
        <v>150.22</v>
      </c>
      <c r="F460" s="177">
        <f>E460*12</f>
        <v>1802.6399999999999</v>
      </c>
      <c r="G460" s="165">
        <v>17</v>
      </c>
      <c r="H460" s="166">
        <f>'RETRIBUCIONES 2025'!$J$14</f>
        <v>445.5</v>
      </c>
      <c r="I460" s="166">
        <f>H460*12</f>
        <v>5346</v>
      </c>
      <c r="J460" s="166">
        <v>484.54</v>
      </c>
      <c r="K460" s="166">
        <f>J460*12</f>
        <v>5814.4800000000005</v>
      </c>
      <c r="L460" s="205">
        <f>C460+E460+H460+J460</f>
        <v>1797.24</v>
      </c>
      <c r="M460" s="177">
        <f>D460+F460+I460+K460</f>
        <v>21566.880000000001</v>
      </c>
      <c r="N460" s="285">
        <f>'RETRIBUCIONES 2025'!$F$9</f>
        <v>710.44</v>
      </c>
      <c r="O460" s="166">
        <f>'RETRIBUCIONES 2025'!$F$10*7</f>
        <v>148.67999999999998</v>
      </c>
      <c r="P460" s="285">
        <f>SUM(N460:O460)</f>
        <v>859.12</v>
      </c>
      <c r="Q460" s="285">
        <f>H460</f>
        <v>445.5</v>
      </c>
      <c r="R460" s="285">
        <f>J460</f>
        <v>484.54</v>
      </c>
      <c r="S460" s="285">
        <f>SUM(P460:R460)</f>
        <v>1789.1599999999999</v>
      </c>
      <c r="T460" s="219">
        <f>M460+S460*2</f>
        <v>25145.200000000001</v>
      </c>
      <c r="U460" s="285">
        <f>T460*0.33</f>
        <v>8297.9160000000011</v>
      </c>
      <c r="V460" s="281">
        <f>SUM(T460:U460)</f>
        <v>33443.116000000002</v>
      </c>
    </row>
    <row r="461" spans="1:22" s="1" customFormat="1" ht="16.5" x14ac:dyDescent="0.25">
      <c r="A461" s="454"/>
      <c r="B461" s="251"/>
      <c r="C461" s="166"/>
      <c r="D461" s="166"/>
      <c r="E461" s="166"/>
      <c r="F461" s="177"/>
      <c r="G461" s="165"/>
      <c r="H461" s="166"/>
      <c r="I461" s="166"/>
      <c r="J461" s="166"/>
      <c r="K461" s="285"/>
      <c r="L461" s="205"/>
      <c r="M461" s="281"/>
      <c r="N461" s="285"/>
      <c r="O461" s="294"/>
      <c r="P461" s="294"/>
      <c r="Q461" s="285"/>
      <c r="R461" s="285"/>
      <c r="S461" s="285"/>
      <c r="T461" s="305"/>
      <c r="U461" s="294"/>
      <c r="V461" s="304"/>
    </row>
    <row r="462" spans="1:22" s="33" customFormat="1" ht="20.100000000000001" customHeight="1" x14ac:dyDescent="0.25">
      <c r="A462" s="469" t="s">
        <v>83</v>
      </c>
      <c r="B462" s="286"/>
      <c r="C462" s="270">
        <f>SUM(C460)</f>
        <v>716.98</v>
      </c>
      <c r="D462" s="270">
        <f t="shared" ref="D462:V462" si="163">SUM(D460)</f>
        <v>8603.76</v>
      </c>
      <c r="E462" s="270">
        <f t="shared" si="163"/>
        <v>150.22</v>
      </c>
      <c r="F462" s="271">
        <f t="shared" si="163"/>
        <v>1802.6399999999999</v>
      </c>
      <c r="G462" s="270"/>
      <c r="H462" s="270">
        <f t="shared" si="163"/>
        <v>445.5</v>
      </c>
      <c r="I462" s="270">
        <f t="shared" si="163"/>
        <v>5346</v>
      </c>
      <c r="J462" s="270">
        <f t="shared" si="163"/>
        <v>484.54</v>
      </c>
      <c r="K462" s="270">
        <f t="shared" si="163"/>
        <v>5814.4800000000005</v>
      </c>
      <c r="L462" s="272">
        <f t="shared" si="163"/>
        <v>1797.24</v>
      </c>
      <c r="M462" s="271">
        <f t="shared" si="163"/>
        <v>21566.880000000001</v>
      </c>
      <c r="N462" s="270">
        <f t="shared" si="163"/>
        <v>710.44</v>
      </c>
      <c r="O462" s="270">
        <f t="shared" si="163"/>
        <v>148.67999999999998</v>
      </c>
      <c r="P462" s="270">
        <f t="shared" si="163"/>
        <v>859.12</v>
      </c>
      <c r="Q462" s="270">
        <f t="shared" si="163"/>
        <v>445.5</v>
      </c>
      <c r="R462" s="270">
        <f t="shared" si="163"/>
        <v>484.54</v>
      </c>
      <c r="S462" s="270">
        <f t="shared" si="163"/>
        <v>1789.1599999999999</v>
      </c>
      <c r="T462" s="272">
        <f t="shared" si="163"/>
        <v>25145.200000000001</v>
      </c>
      <c r="U462" s="270">
        <f t="shared" si="163"/>
        <v>8297.9160000000011</v>
      </c>
      <c r="V462" s="271">
        <f t="shared" si="163"/>
        <v>33443.116000000002</v>
      </c>
    </row>
    <row r="463" spans="1:22" s="4" customFormat="1" ht="17.25" thickBot="1" x14ac:dyDescent="0.3">
      <c r="A463" s="457"/>
      <c r="B463" s="299"/>
      <c r="C463" s="274"/>
      <c r="D463" s="274" t="s">
        <v>195</v>
      </c>
      <c r="E463" s="274"/>
      <c r="F463" s="275" t="s">
        <v>195</v>
      </c>
      <c r="G463" s="300"/>
      <c r="H463" s="277"/>
      <c r="I463" s="275" t="s">
        <v>206</v>
      </c>
      <c r="J463" s="274"/>
      <c r="K463" s="275" t="s">
        <v>206</v>
      </c>
      <c r="L463" s="278"/>
      <c r="M463" s="301"/>
      <c r="N463" s="290"/>
      <c r="O463" s="290"/>
      <c r="P463" s="290"/>
      <c r="Q463" s="290"/>
      <c r="R463" s="290"/>
      <c r="S463" s="290"/>
      <c r="T463" s="299" t="s">
        <v>201</v>
      </c>
      <c r="U463" s="292" t="s">
        <v>196</v>
      </c>
      <c r="V463" s="301"/>
    </row>
    <row r="464" spans="1:22" s="1" customFormat="1" ht="17.25" thickBot="1" x14ac:dyDescent="0.3">
      <c r="A464" s="454"/>
      <c r="B464" s="293"/>
      <c r="C464" s="166"/>
      <c r="D464" s="166"/>
      <c r="E464" s="166"/>
      <c r="F464" s="166"/>
      <c r="G464" s="164"/>
      <c r="H464" s="165"/>
      <c r="I464" s="166"/>
      <c r="J464" s="166"/>
      <c r="K464" s="166"/>
      <c r="L464" s="166"/>
      <c r="M464" s="285"/>
      <c r="N464" s="285"/>
      <c r="O464" s="294"/>
      <c r="P464" s="294"/>
      <c r="Q464" s="285"/>
      <c r="R464" s="285"/>
      <c r="S464" s="285"/>
      <c r="T464" s="285"/>
      <c r="U464" s="285"/>
      <c r="V464" s="281"/>
    </row>
    <row r="465" spans="1:23" s="1" customFormat="1" ht="17.25" thickBot="1" x14ac:dyDescent="0.3">
      <c r="A465" s="543" t="s">
        <v>89</v>
      </c>
      <c r="B465" s="544"/>
      <c r="C465" s="544"/>
      <c r="D465" s="544"/>
      <c r="E465" s="544"/>
      <c r="F465" s="544"/>
      <c r="G465" s="544"/>
      <c r="H465" s="544"/>
      <c r="I465" s="544"/>
      <c r="J465" s="544"/>
      <c r="K465" s="544"/>
      <c r="L465" s="544"/>
      <c r="M465" s="544"/>
      <c r="N465" s="544"/>
      <c r="O465" s="544"/>
      <c r="P465" s="544"/>
      <c r="Q465" s="544"/>
      <c r="R465" s="544"/>
      <c r="S465" s="544"/>
      <c r="T465" s="544"/>
      <c r="U465" s="544"/>
      <c r="V465" s="545"/>
    </row>
    <row r="466" spans="1:23" s="1" customFormat="1" ht="17.25" thickBot="1" x14ac:dyDescent="0.25">
      <c r="A466" s="546">
        <v>171</v>
      </c>
      <c r="B466" s="547"/>
      <c r="C466" s="547"/>
      <c r="D466" s="547"/>
      <c r="E466" s="547"/>
      <c r="F466" s="547"/>
      <c r="G466" s="547"/>
      <c r="H466" s="547"/>
      <c r="I466" s="547"/>
      <c r="J466" s="547"/>
      <c r="K466" s="547"/>
      <c r="L466" s="547"/>
      <c r="M466" s="547"/>
      <c r="N466" s="547"/>
      <c r="O466" s="547"/>
      <c r="P466" s="547"/>
      <c r="Q466" s="547"/>
      <c r="R466" s="547"/>
      <c r="S466" s="547"/>
      <c r="T466" s="547"/>
      <c r="U466" s="547"/>
      <c r="V466" s="548"/>
    </row>
    <row r="467" spans="1:23" s="1" customFormat="1" ht="16.5" x14ac:dyDescent="0.25">
      <c r="A467" s="452"/>
      <c r="B467" s="529" t="s">
        <v>123</v>
      </c>
      <c r="C467" s="530"/>
      <c r="D467" s="530"/>
      <c r="E467" s="530"/>
      <c r="F467" s="531"/>
      <c r="G467" s="532" t="s">
        <v>124</v>
      </c>
      <c r="H467" s="532"/>
      <c r="I467" s="532"/>
      <c r="J467" s="532"/>
      <c r="K467" s="532"/>
      <c r="L467" s="533" t="s">
        <v>132</v>
      </c>
      <c r="M467" s="535" t="s">
        <v>133</v>
      </c>
      <c r="N467" s="514" t="s">
        <v>2</v>
      </c>
      <c r="O467" s="515"/>
      <c r="P467" s="515"/>
      <c r="Q467" s="515"/>
      <c r="R467" s="515"/>
      <c r="S467" s="516"/>
      <c r="T467" s="295"/>
      <c r="U467" s="296"/>
      <c r="V467" s="297"/>
    </row>
    <row r="468" spans="1:23" s="1" customFormat="1" ht="33.75" thickBot="1" x14ac:dyDescent="0.25">
      <c r="A468" s="212"/>
      <c r="B468" s="268" t="s">
        <v>6</v>
      </c>
      <c r="C468" s="173" t="s">
        <v>144</v>
      </c>
      <c r="D468" s="173" t="s">
        <v>139</v>
      </c>
      <c r="E468" s="173" t="s">
        <v>145</v>
      </c>
      <c r="F468" s="174" t="s">
        <v>140</v>
      </c>
      <c r="G468" s="200" t="s">
        <v>9</v>
      </c>
      <c r="H468" s="173" t="s">
        <v>136</v>
      </c>
      <c r="I468" s="173" t="s">
        <v>135</v>
      </c>
      <c r="J468" s="173" t="s">
        <v>134</v>
      </c>
      <c r="K468" s="173" t="s">
        <v>137</v>
      </c>
      <c r="L468" s="534"/>
      <c r="M468" s="536"/>
      <c r="N468" s="268" t="s">
        <v>10</v>
      </c>
      <c r="O468" s="173" t="s">
        <v>11</v>
      </c>
      <c r="P468" s="173" t="s">
        <v>120</v>
      </c>
      <c r="Q468" s="173" t="s">
        <v>122</v>
      </c>
      <c r="R468" s="173" t="s">
        <v>121</v>
      </c>
      <c r="S468" s="174" t="s">
        <v>116</v>
      </c>
      <c r="T468" s="283" t="s">
        <v>141</v>
      </c>
      <c r="U468" s="173" t="s">
        <v>143</v>
      </c>
      <c r="V468" s="174" t="s">
        <v>142</v>
      </c>
    </row>
    <row r="469" spans="1:23" s="1" customFormat="1" ht="16.5" x14ac:dyDescent="0.2">
      <c r="A469" s="213"/>
      <c r="B469" s="269"/>
      <c r="C469" s="214"/>
      <c r="D469" s="214"/>
      <c r="E469" s="214"/>
      <c r="F469" s="215"/>
      <c r="G469" s="231"/>
      <c r="H469" s="217"/>
      <c r="I469" s="214"/>
      <c r="J469" s="214"/>
      <c r="K469" s="214"/>
      <c r="L469" s="269"/>
      <c r="M469" s="215"/>
      <c r="N469" s="269"/>
      <c r="O469" s="284"/>
      <c r="P469" s="284"/>
      <c r="Q469" s="214"/>
      <c r="R469" s="214"/>
      <c r="S469" s="215"/>
      <c r="T469" s="214"/>
      <c r="U469" s="214"/>
      <c r="V469" s="215"/>
    </row>
    <row r="470" spans="1:23" s="1" customFormat="1" ht="16.5" x14ac:dyDescent="0.25">
      <c r="A470" s="450" t="s">
        <v>268</v>
      </c>
      <c r="B470" s="251" t="s">
        <v>26</v>
      </c>
      <c r="C470" s="166">
        <f>'RETRIBUCIONES 2025'!$G$4</f>
        <v>656.23</v>
      </c>
      <c r="D470" s="166">
        <f>C470*12</f>
        <v>7874.76</v>
      </c>
      <c r="E470" s="166">
        <f>'RETRIBUCIONES 2025'!G5</f>
        <v>16.16</v>
      </c>
      <c r="F470" s="177">
        <f>E470*12</f>
        <v>193.92000000000002</v>
      </c>
      <c r="G470" s="165">
        <v>14</v>
      </c>
      <c r="H470" s="166">
        <f>'RETRIBUCIONES 2025'!$G$14</f>
        <v>364.97</v>
      </c>
      <c r="I470" s="166">
        <f>H470*12</f>
        <v>4379.6400000000003</v>
      </c>
      <c r="J470" s="166">
        <v>554.74</v>
      </c>
      <c r="K470" s="166">
        <f>J470*12</f>
        <v>6656.88</v>
      </c>
      <c r="L470" s="205">
        <f>C470+E470+H470+J470</f>
        <v>1592.1000000000001</v>
      </c>
      <c r="M470" s="177">
        <f>D470+F470+I470+K470</f>
        <v>19105.2</v>
      </c>
      <c r="N470" s="219">
        <f>'RETRIBUCIONES 2025'!$G$9</f>
        <v>656.23</v>
      </c>
      <c r="O470" s="285">
        <f>'RETRIBUCIONES 2025'!G10</f>
        <v>16.16</v>
      </c>
      <c r="P470" s="285">
        <f>SUM(N470:O470)</f>
        <v>672.39</v>
      </c>
      <c r="Q470" s="285">
        <f>H470</f>
        <v>364.97</v>
      </c>
      <c r="R470" s="285">
        <f>J470</f>
        <v>554.74</v>
      </c>
      <c r="S470" s="281">
        <f>SUM(P470:R470)</f>
        <v>1592.1000000000001</v>
      </c>
      <c r="T470" s="285">
        <f>M470+S470*2</f>
        <v>22289.4</v>
      </c>
      <c r="U470" s="285">
        <f>T470*0.33</f>
        <v>7355.5020000000004</v>
      </c>
      <c r="V470" s="281">
        <f>SUM(T470:U470)</f>
        <v>29644.902000000002</v>
      </c>
      <c r="W470" s="4"/>
    </row>
    <row r="471" spans="1:23" s="1" customFormat="1" ht="16.5" x14ac:dyDescent="0.25">
      <c r="A471" s="454"/>
      <c r="B471" s="251"/>
      <c r="C471" s="166"/>
      <c r="D471" s="166"/>
      <c r="E471" s="166"/>
      <c r="F471" s="177"/>
      <c r="G471" s="165"/>
      <c r="H471" s="166"/>
      <c r="I471" s="166"/>
      <c r="J471" s="166"/>
      <c r="K471" s="285"/>
      <c r="L471" s="205"/>
      <c r="M471" s="281"/>
      <c r="N471" s="219"/>
      <c r="O471" s="285"/>
      <c r="P471" s="285"/>
      <c r="Q471" s="285"/>
      <c r="R471" s="285"/>
      <c r="S471" s="281"/>
      <c r="T471" s="285"/>
      <c r="U471" s="285"/>
      <c r="V471" s="281"/>
    </row>
    <row r="472" spans="1:23" s="34" customFormat="1" ht="20.100000000000001" customHeight="1" x14ac:dyDescent="0.25">
      <c r="A472" s="469" t="s">
        <v>84</v>
      </c>
      <c r="B472" s="286"/>
      <c r="C472" s="270">
        <f>SUM(C470:C470)</f>
        <v>656.23</v>
      </c>
      <c r="D472" s="270">
        <f t="shared" ref="D472:V472" si="164">SUM(D470:D470)</f>
        <v>7874.76</v>
      </c>
      <c r="E472" s="270">
        <f t="shared" si="164"/>
        <v>16.16</v>
      </c>
      <c r="F472" s="271">
        <f t="shared" si="164"/>
        <v>193.92000000000002</v>
      </c>
      <c r="G472" s="270"/>
      <c r="H472" s="270">
        <f t="shared" si="164"/>
        <v>364.97</v>
      </c>
      <c r="I472" s="270">
        <f t="shared" si="164"/>
        <v>4379.6400000000003</v>
      </c>
      <c r="J472" s="270">
        <f t="shared" si="164"/>
        <v>554.74</v>
      </c>
      <c r="K472" s="270">
        <f t="shared" si="164"/>
        <v>6656.88</v>
      </c>
      <c r="L472" s="272">
        <f t="shared" si="164"/>
        <v>1592.1000000000001</v>
      </c>
      <c r="M472" s="271">
        <f t="shared" si="164"/>
        <v>19105.2</v>
      </c>
      <c r="N472" s="272">
        <f t="shared" si="164"/>
        <v>656.23</v>
      </c>
      <c r="O472" s="270">
        <f t="shared" si="164"/>
        <v>16.16</v>
      </c>
      <c r="P472" s="270">
        <f t="shared" si="164"/>
        <v>672.39</v>
      </c>
      <c r="Q472" s="270">
        <f t="shared" si="164"/>
        <v>364.97</v>
      </c>
      <c r="R472" s="270">
        <f t="shared" si="164"/>
        <v>554.74</v>
      </c>
      <c r="S472" s="271">
        <f t="shared" si="164"/>
        <v>1592.1000000000001</v>
      </c>
      <c r="T472" s="270">
        <f t="shared" si="164"/>
        <v>22289.4</v>
      </c>
      <c r="U472" s="270">
        <f t="shared" si="164"/>
        <v>7355.5020000000004</v>
      </c>
      <c r="V472" s="271">
        <f t="shared" si="164"/>
        <v>29644.902000000002</v>
      </c>
      <c r="W472" s="33"/>
    </row>
    <row r="473" spans="1:23" s="1" customFormat="1" ht="17.25" thickBot="1" x14ac:dyDescent="0.3">
      <c r="A473" s="459"/>
      <c r="B473" s="288"/>
      <c r="C473" s="226"/>
      <c r="D473" s="292" t="s">
        <v>197</v>
      </c>
      <c r="E473" s="226"/>
      <c r="F473" s="323" t="s">
        <v>197</v>
      </c>
      <c r="G473" s="258"/>
      <c r="H473" s="229"/>
      <c r="I473" s="292" t="s">
        <v>199</v>
      </c>
      <c r="J473" s="226"/>
      <c r="K473" s="292" t="s">
        <v>199</v>
      </c>
      <c r="L473" s="273"/>
      <c r="M473" s="289"/>
      <c r="N473" s="287"/>
      <c r="O473" s="290"/>
      <c r="P473" s="290"/>
      <c r="Q473" s="291"/>
      <c r="R473" s="291"/>
      <c r="S473" s="289"/>
      <c r="T473" s="292" t="s">
        <v>200</v>
      </c>
      <c r="U473" s="292" t="s">
        <v>198</v>
      </c>
      <c r="V473" s="289"/>
    </row>
    <row r="474" spans="1:23" s="1" customFormat="1" ht="16.5" x14ac:dyDescent="0.25">
      <c r="A474" s="454"/>
      <c r="B474" s="293"/>
      <c r="C474" s="166"/>
      <c r="D474" s="166"/>
      <c r="E474" s="166"/>
      <c r="F474" s="166"/>
      <c r="G474" s="164"/>
      <c r="H474" s="165"/>
      <c r="I474" s="166"/>
      <c r="J474" s="166"/>
      <c r="K474" s="166"/>
      <c r="L474" s="166"/>
      <c r="M474" s="285"/>
      <c r="N474" s="285"/>
      <c r="O474" s="294"/>
      <c r="P474" s="294"/>
      <c r="Q474" s="285"/>
      <c r="R474" s="285"/>
      <c r="S474" s="285"/>
      <c r="T474" s="285"/>
      <c r="U474" s="285"/>
      <c r="V474" s="281"/>
    </row>
    <row r="475" spans="1:23" s="1" customFormat="1" ht="17.25" thickBot="1" x14ac:dyDescent="0.3">
      <c r="A475" s="454"/>
      <c r="B475" s="293"/>
      <c r="C475" s="166"/>
      <c r="D475" s="166"/>
      <c r="E475" s="166"/>
      <c r="F475" s="166"/>
      <c r="G475" s="164"/>
      <c r="H475" s="165"/>
      <c r="I475" s="166"/>
      <c r="J475" s="166"/>
      <c r="K475" s="166"/>
      <c r="L475" s="166"/>
      <c r="M475" s="285"/>
      <c r="N475" s="285"/>
      <c r="O475" s="294"/>
      <c r="P475" s="294"/>
      <c r="Q475" s="285"/>
      <c r="R475" s="285"/>
      <c r="S475" s="285"/>
      <c r="T475" s="285"/>
      <c r="U475" s="285"/>
      <c r="V475" s="281"/>
    </row>
    <row r="476" spans="1:23" s="1" customFormat="1" ht="17.25" thickBot="1" x14ac:dyDescent="0.3">
      <c r="A476" s="520" t="s">
        <v>75</v>
      </c>
      <c r="B476" s="521"/>
      <c r="C476" s="521"/>
      <c r="D476" s="521"/>
      <c r="E476" s="521"/>
      <c r="F476" s="521"/>
      <c r="G476" s="521"/>
      <c r="H476" s="521"/>
      <c r="I476" s="521"/>
      <c r="J476" s="521"/>
      <c r="K476" s="521"/>
      <c r="L476" s="521"/>
      <c r="M476" s="521"/>
      <c r="N476" s="521"/>
      <c r="O476" s="521"/>
      <c r="P476" s="521"/>
      <c r="Q476" s="521"/>
      <c r="R476" s="521"/>
      <c r="S476" s="521"/>
      <c r="T476" s="521"/>
      <c r="U476" s="521"/>
      <c r="V476" s="522"/>
    </row>
    <row r="477" spans="1:23" s="1" customFormat="1" ht="17.25" thickBot="1" x14ac:dyDescent="0.25">
      <c r="A477" s="526">
        <v>932</v>
      </c>
      <c r="B477" s="527"/>
      <c r="C477" s="527"/>
      <c r="D477" s="527"/>
      <c r="E477" s="527"/>
      <c r="F477" s="527"/>
      <c r="G477" s="527"/>
      <c r="H477" s="527"/>
      <c r="I477" s="527"/>
      <c r="J477" s="527"/>
      <c r="K477" s="527"/>
      <c r="L477" s="527"/>
      <c r="M477" s="527"/>
      <c r="N477" s="527"/>
      <c r="O477" s="527"/>
      <c r="P477" s="527"/>
      <c r="Q477" s="527"/>
      <c r="R477" s="527"/>
      <c r="S477" s="527"/>
      <c r="T477" s="527"/>
      <c r="U477" s="527"/>
      <c r="V477" s="528"/>
    </row>
    <row r="478" spans="1:23" s="1" customFormat="1" ht="16.5" x14ac:dyDescent="0.25">
      <c r="A478" s="452"/>
      <c r="B478" s="529" t="s">
        <v>123</v>
      </c>
      <c r="C478" s="530"/>
      <c r="D478" s="530"/>
      <c r="E478" s="530"/>
      <c r="F478" s="531"/>
      <c r="G478" s="532" t="s">
        <v>124</v>
      </c>
      <c r="H478" s="532"/>
      <c r="I478" s="532"/>
      <c r="J478" s="532"/>
      <c r="K478" s="532"/>
      <c r="L478" s="533" t="s">
        <v>132</v>
      </c>
      <c r="M478" s="535" t="s">
        <v>133</v>
      </c>
      <c r="N478" s="515" t="s">
        <v>2</v>
      </c>
      <c r="O478" s="515"/>
      <c r="P478" s="515"/>
      <c r="Q478" s="515"/>
      <c r="R478" s="515"/>
      <c r="S478" s="515"/>
      <c r="T478" s="302"/>
      <c r="U478" s="296"/>
      <c r="V478" s="297"/>
    </row>
    <row r="479" spans="1:23" s="1" customFormat="1" ht="31.15" customHeight="1" thickBot="1" x14ac:dyDescent="0.25">
      <c r="A479" s="212"/>
      <c r="B479" s="268" t="s">
        <v>6</v>
      </c>
      <c r="C479" s="173" t="s">
        <v>144</v>
      </c>
      <c r="D479" s="173" t="s">
        <v>139</v>
      </c>
      <c r="E479" s="173" t="s">
        <v>145</v>
      </c>
      <c r="F479" s="174" t="s">
        <v>140</v>
      </c>
      <c r="G479" s="200" t="s">
        <v>9</v>
      </c>
      <c r="H479" s="173" t="s">
        <v>136</v>
      </c>
      <c r="I479" s="173" t="s">
        <v>135</v>
      </c>
      <c r="J479" s="173" t="s">
        <v>134</v>
      </c>
      <c r="K479" s="173" t="s">
        <v>137</v>
      </c>
      <c r="L479" s="534"/>
      <c r="M479" s="536"/>
      <c r="N479" s="173" t="s">
        <v>10</v>
      </c>
      <c r="O479" s="173" t="s">
        <v>11</v>
      </c>
      <c r="P479" s="173" t="s">
        <v>120</v>
      </c>
      <c r="Q479" s="173" t="s">
        <v>122</v>
      </c>
      <c r="R479" s="173" t="s">
        <v>121</v>
      </c>
      <c r="S479" s="173" t="s">
        <v>116</v>
      </c>
      <c r="T479" s="303" t="s">
        <v>141</v>
      </c>
      <c r="U479" s="173" t="s">
        <v>143</v>
      </c>
      <c r="V479" s="174" t="s">
        <v>142</v>
      </c>
    </row>
    <row r="480" spans="1:23" s="1" customFormat="1" ht="16.5" x14ac:dyDescent="0.2">
      <c r="A480" s="213"/>
      <c r="B480" s="269"/>
      <c r="C480" s="214"/>
      <c r="D480" s="214"/>
      <c r="E480" s="214"/>
      <c r="F480" s="215"/>
      <c r="G480" s="231"/>
      <c r="H480" s="217"/>
      <c r="I480" s="214"/>
      <c r="J480" s="214"/>
      <c r="K480" s="214"/>
      <c r="L480" s="269"/>
      <c r="M480" s="215"/>
      <c r="N480" s="214"/>
      <c r="O480" s="284"/>
      <c r="P480" s="284"/>
      <c r="Q480" s="214"/>
      <c r="R480" s="214"/>
      <c r="S480" s="214"/>
      <c r="T480" s="269"/>
      <c r="U480" s="214"/>
      <c r="V480" s="215"/>
    </row>
    <row r="481" spans="1:22" s="1" customFormat="1" ht="15.6" customHeight="1" x14ac:dyDescent="0.25">
      <c r="A481" s="450" t="s">
        <v>229</v>
      </c>
      <c r="B481" s="251" t="s">
        <v>17</v>
      </c>
      <c r="C481" s="166">
        <f>'RETRIBUCIONES 2025'!$F$4</f>
        <v>716.98</v>
      </c>
      <c r="D481" s="166">
        <f>C481*12</f>
        <v>8603.76</v>
      </c>
      <c r="E481" s="166">
        <f>'RETRIBUCIONES 2025'!F5*2</f>
        <v>42.92</v>
      </c>
      <c r="F481" s="177">
        <f>E481*12</f>
        <v>515.04</v>
      </c>
      <c r="G481" s="165" t="s">
        <v>51</v>
      </c>
      <c r="H481" s="166">
        <f>'RETRIBUCIONES 2025'!$K$14</f>
        <v>472.37</v>
      </c>
      <c r="I481" s="166">
        <f>H481*12</f>
        <v>5668.4400000000005</v>
      </c>
      <c r="J481" s="166">
        <v>610.35</v>
      </c>
      <c r="K481" s="166">
        <f>J481*12</f>
        <v>7324.2000000000007</v>
      </c>
      <c r="L481" s="205">
        <f>C481+E481+H481+J481</f>
        <v>1842.62</v>
      </c>
      <c r="M481" s="177">
        <f>D481+F481+I481+K481</f>
        <v>22111.440000000002</v>
      </c>
      <c r="N481" s="285">
        <f>'RETRIBUCIONES 2025'!$F$9</f>
        <v>710.44</v>
      </c>
      <c r="O481" s="166">
        <f>'RETRIBUCIONES 2025'!F10*2</f>
        <v>42.48</v>
      </c>
      <c r="P481" s="285">
        <f>SUM(N481:O481)</f>
        <v>752.92000000000007</v>
      </c>
      <c r="Q481" s="285">
        <f>H481</f>
        <v>472.37</v>
      </c>
      <c r="R481" s="285">
        <f>J481</f>
        <v>610.35</v>
      </c>
      <c r="S481" s="285">
        <f>SUM(P481:R481)</f>
        <v>1835.6399999999999</v>
      </c>
      <c r="T481" s="219">
        <f>M481+S481*2</f>
        <v>25782.720000000001</v>
      </c>
      <c r="U481" s="285">
        <f>T481*0.33</f>
        <v>8508.2976000000017</v>
      </c>
      <c r="V481" s="281">
        <f>SUM(T481:U481)</f>
        <v>34291.017600000006</v>
      </c>
    </row>
    <row r="482" spans="1:22" s="1" customFormat="1" ht="16.5" x14ac:dyDescent="0.25">
      <c r="A482" s="454"/>
      <c r="B482" s="251"/>
      <c r="C482" s="166"/>
      <c r="D482" s="166"/>
      <c r="E482" s="166"/>
      <c r="F482" s="177"/>
      <c r="G482" s="165"/>
      <c r="H482" s="166"/>
      <c r="I482" s="166"/>
      <c r="J482" s="166"/>
      <c r="K482" s="166"/>
      <c r="L482" s="205"/>
      <c r="M482" s="177"/>
      <c r="N482" s="285"/>
      <c r="O482" s="166"/>
      <c r="P482" s="285"/>
      <c r="Q482" s="285"/>
      <c r="R482" s="285"/>
      <c r="S482" s="285"/>
      <c r="T482" s="219"/>
      <c r="U482" s="285"/>
      <c r="V482" s="281"/>
    </row>
    <row r="483" spans="1:22" s="1" customFormat="1" ht="16.5" x14ac:dyDescent="0.25">
      <c r="A483" s="450" t="s">
        <v>229</v>
      </c>
      <c r="B483" s="251" t="s">
        <v>17</v>
      </c>
      <c r="C483" s="166">
        <f>'RETRIBUCIONES 2025'!$F$4</f>
        <v>716.98</v>
      </c>
      <c r="D483" s="166">
        <f t="shared" ref="D483" si="165">C483*12</f>
        <v>8603.76</v>
      </c>
      <c r="E483" s="166">
        <f>'RETRIBUCIONES 2025'!$F$5*6</f>
        <v>128.76</v>
      </c>
      <c r="F483" s="177">
        <f t="shared" ref="F483" si="166">E483*12</f>
        <v>1545.12</v>
      </c>
      <c r="G483" s="165" t="s">
        <v>51</v>
      </c>
      <c r="H483" s="166">
        <f>'RETRIBUCIONES 2025'!$K$14</f>
        <v>472.37</v>
      </c>
      <c r="I483" s="166">
        <f t="shared" ref="I483" si="167">H483*12</f>
        <v>5668.4400000000005</v>
      </c>
      <c r="J483" s="166">
        <v>610.35</v>
      </c>
      <c r="K483" s="166">
        <f t="shared" ref="K483" si="168">J483*12</f>
        <v>7324.2000000000007</v>
      </c>
      <c r="L483" s="205">
        <f t="shared" ref="L483" si="169">C483+E483+H483+J483</f>
        <v>1928.46</v>
      </c>
      <c r="M483" s="177">
        <f t="shared" ref="M483" si="170">D483+F483+I483+K483</f>
        <v>23141.520000000004</v>
      </c>
      <c r="N483" s="285">
        <f>'RETRIBUCIONES 2025'!$F$9</f>
        <v>710.44</v>
      </c>
      <c r="O483" s="166">
        <f>'RETRIBUCIONES 2025'!$F$10*6</f>
        <v>127.44</v>
      </c>
      <c r="P483" s="285">
        <f>SUM(N483:O483)</f>
        <v>837.88000000000011</v>
      </c>
      <c r="Q483" s="285">
        <f t="shared" ref="Q483" si="171">H483</f>
        <v>472.37</v>
      </c>
      <c r="R483" s="285">
        <f t="shared" ref="R483" si="172">J483</f>
        <v>610.35</v>
      </c>
      <c r="S483" s="285">
        <f t="shared" ref="S483" si="173">SUM(P483:R483)</f>
        <v>1920.6</v>
      </c>
      <c r="T483" s="219">
        <f t="shared" ref="T483" si="174">M483+S483*2</f>
        <v>26982.720000000005</v>
      </c>
      <c r="U483" s="285">
        <f t="shared" ref="U483" si="175">T483*0.33</f>
        <v>8904.2976000000017</v>
      </c>
      <c r="V483" s="281">
        <f t="shared" ref="V483" si="176">SUM(T483:U483)</f>
        <v>35887.017600000006</v>
      </c>
    </row>
    <row r="484" spans="1:22" s="33" customFormat="1" ht="20.100000000000001" customHeight="1" x14ac:dyDescent="0.25">
      <c r="A484" s="454"/>
      <c r="B484" s="251"/>
      <c r="C484" s="166"/>
      <c r="D484" s="166"/>
      <c r="E484" s="166"/>
      <c r="F484" s="177"/>
      <c r="G484" s="164"/>
      <c r="H484" s="165"/>
      <c r="I484" s="166"/>
      <c r="J484" s="166"/>
      <c r="K484" s="166"/>
      <c r="L484" s="205"/>
      <c r="M484" s="281"/>
      <c r="N484" s="285"/>
      <c r="O484" s="294"/>
      <c r="P484" s="294"/>
      <c r="Q484" s="285"/>
      <c r="R484" s="166"/>
      <c r="S484" s="294"/>
      <c r="T484" s="305"/>
      <c r="U484" s="294"/>
      <c r="V484" s="304"/>
    </row>
    <row r="485" spans="1:22" s="33" customFormat="1" ht="15" customHeight="1" x14ac:dyDescent="0.25">
      <c r="A485" s="469" t="s">
        <v>33</v>
      </c>
      <c r="B485" s="286"/>
      <c r="C485" s="270">
        <f>SUM(C481:C484)</f>
        <v>1433.96</v>
      </c>
      <c r="D485" s="270">
        <f t="shared" ref="D485:V485" si="177">SUM(D481:D484)</f>
        <v>17207.52</v>
      </c>
      <c r="E485" s="270">
        <f t="shared" si="177"/>
        <v>171.68</v>
      </c>
      <c r="F485" s="271">
        <f t="shared" si="177"/>
        <v>2060.16</v>
      </c>
      <c r="G485" s="270"/>
      <c r="H485" s="270">
        <f t="shared" si="177"/>
        <v>944.74</v>
      </c>
      <c r="I485" s="270">
        <f t="shared" si="177"/>
        <v>11336.880000000001</v>
      </c>
      <c r="J485" s="270">
        <f t="shared" si="177"/>
        <v>1220.7</v>
      </c>
      <c r="K485" s="270">
        <f t="shared" si="177"/>
        <v>14648.400000000001</v>
      </c>
      <c r="L485" s="272">
        <f t="shared" si="177"/>
        <v>3771.08</v>
      </c>
      <c r="M485" s="271">
        <f t="shared" si="177"/>
        <v>45252.960000000006</v>
      </c>
      <c r="N485" s="270">
        <f t="shared" si="177"/>
        <v>1420.88</v>
      </c>
      <c r="O485" s="270">
        <f t="shared" si="177"/>
        <v>169.92</v>
      </c>
      <c r="P485" s="270">
        <f t="shared" si="177"/>
        <v>1590.8000000000002</v>
      </c>
      <c r="Q485" s="270">
        <f t="shared" si="177"/>
        <v>944.74</v>
      </c>
      <c r="R485" s="270">
        <f t="shared" si="177"/>
        <v>1220.7</v>
      </c>
      <c r="S485" s="270">
        <f t="shared" si="177"/>
        <v>3756.24</v>
      </c>
      <c r="T485" s="272">
        <f t="shared" si="177"/>
        <v>52765.440000000002</v>
      </c>
      <c r="U485" s="270">
        <f t="shared" si="177"/>
        <v>17412.595200000003</v>
      </c>
      <c r="V485" s="271">
        <f t="shared" si="177"/>
        <v>70178.035200000013</v>
      </c>
    </row>
    <row r="486" spans="1:22" s="51" customFormat="1" ht="17.25" thickBot="1" x14ac:dyDescent="0.3">
      <c r="A486" s="459"/>
      <c r="B486" s="288"/>
      <c r="C486" s="226"/>
      <c r="D486" s="226" t="s">
        <v>210</v>
      </c>
      <c r="E486" s="226"/>
      <c r="F486" s="226" t="s">
        <v>210</v>
      </c>
      <c r="G486" s="258"/>
      <c r="H486" s="229"/>
      <c r="I486" s="226" t="s">
        <v>211</v>
      </c>
      <c r="J486" s="226"/>
      <c r="K486" s="226" t="s">
        <v>211</v>
      </c>
      <c r="L486" s="273"/>
      <c r="M486" s="289"/>
      <c r="N486" s="291"/>
      <c r="O486" s="290"/>
      <c r="P486" s="290"/>
      <c r="Q486" s="291"/>
      <c r="R486" s="291"/>
      <c r="S486" s="291"/>
      <c r="T486" s="299" t="s">
        <v>214</v>
      </c>
      <c r="U486" s="292" t="s">
        <v>212</v>
      </c>
      <c r="V486" s="289"/>
    </row>
    <row r="487" spans="1:22" s="51" customFormat="1" ht="12.75" customHeight="1" x14ac:dyDescent="0.25">
      <c r="A487" s="454"/>
      <c r="B487" s="293"/>
      <c r="C487" s="166"/>
      <c r="D487" s="166"/>
      <c r="E487" s="166"/>
      <c r="F487" s="166"/>
      <c r="G487" s="164"/>
      <c r="H487" s="165"/>
      <c r="I487" s="166"/>
      <c r="J487" s="166"/>
      <c r="K487" s="166"/>
      <c r="L487" s="166"/>
      <c r="M487" s="285"/>
      <c r="N487" s="285"/>
      <c r="O487" s="294"/>
      <c r="P487" s="294"/>
      <c r="Q487" s="285"/>
      <c r="R487" s="285"/>
      <c r="S487" s="285"/>
      <c r="T487" s="285"/>
      <c r="U487" s="285"/>
      <c r="V487" s="281"/>
    </row>
    <row r="488" spans="1:22" s="51" customFormat="1" ht="12.75" customHeight="1" thickBot="1" x14ac:dyDescent="0.3">
      <c r="A488" s="454"/>
      <c r="B488" s="293"/>
      <c r="C488" s="166"/>
      <c r="D488" s="166"/>
      <c r="E488" s="166"/>
      <c r="F488" s="166"/>
      <c r="G488" s="164"/>
      <c r="H488" s="165"/>
      <c r="I488" s="166"/>
      <c r="J488" s="166"/>
      <c r="K488" s="166"/>
      <c r="L488" s="166"/>
      <c r="M488" s="285"/>
      <c r="N488" s="285"/>
      <c r="O488" s="294"/>
      <c r="P488" s="294"/>
      <c r="Q488" s="285"/>
      <c r="R488" s="285"/>
      <c r="S488" s="285"/>
      <c r="T488" s="285"/>
      <c r="U488" s="285"/>
      <c r="V488" s="281"/>
    </row>
    <row r="489" spans="1:22" s="51" customFormat="1" ht="16.5" x14ac:dyDescent="0.25">
      <c r="A489" s="520" t="s">
        <v>91</v>
      </c>
      <c r="B489" s="521"/>
      <c r="C489" s="521"/>
      <c r="D489" s="521"/>
      <c r="E489" s="521"/>
      <c r="F489" s="521"/>
      <c r="G489" s="521"/>
      <c r="H489" s="521"/>
      <c r="I489" s="521"/>
      <c r="J489" s="521"/>
      <c r="K489" s="521"/>
      <c r="L489" s="521"/>
      <c r="M489" s="521"/>
      <c r="N489" s="521"/>
      <c r="O489" s="521"/>
      <c r="P489" s="521"/>
      <c r="Q489" s="521"/>
      <c r="R489" s="521"/>
      <c r="S489" s="521"/>
      <c r="T489" s="521"/>
      <c r="U489" s="521"/>
      <c r="V489" s="522"/>
    </row>
    <row r="490" spans="1:22" s="51" customFormat="1" ht="17.25" thickBot="1" x14ac:dyDescent="0.3">
      <c r="A490" s="523">
        <v>232</v>
      </c>
      <c r="B490" s="524"/>
      <c r="C490" s="524"/>
      <c r="D490" s="524"/>
      <c r="E490" s="524"/>
      <c r="F490" s="524"/>
      <c r="G490" s="524"/>
      <c r="H490" s="524"/>
      <c r="I490" s="524"/>
      <c r="J490" s="524"/>
      <c r="K490" s="524"/>
      <c r="L490" s="524"/>
      <c r="M490" s="524"/>
      <c r="N490" s="524"/>
      <c r="O490" s="524"/>
      <c r="P490" s="524"/>
      <c r="Q490" s="524"/>
      <c r="R490" s="524"/>
      <c r="S490" s="524"/>
      <c r="T490" s="524"/>
      <c r="U490" s="524"/>
      <c r="V490" s="525"/>
    </row>
    <row r="491" spans="1:22" s="51" customFormat="1" ht="39" customHeight="1" x14ac:dyDescent="0.25">
      <c r="A491" s="470"/>
      <c r="B491" s="514" t="s">
        <v>123</v>
      </c>
      <c r="C491" s="515"/>
      <c r="D491" s="515"/>
      <c r="E491" s="515"/>
      <c r="F491" s="516"/>
      <c r="G491" s="324"/>
      <c r="H491" s="519" t="s">
        <v>124</v>
      </c>
      <c r="I491" s="519"/>
      <c r="J491" s="325"/>
      <c r="K491" s="326"/>
      <c r="L491" s="517" t="s">
        <v>132</v>
      </c>
      <c r="M491" s="517" t="s">
        <v>133</v>
      </c>
      <c r="N491" s="514" t="s">
        <v>2</v>
      </c>
      <c r="O491" s="515"/>
      <c r="P491" s="515"/>
      <c r="Q491" s="515"/>
      <c r="R491" s="515"/>
      <c r="S491" s="516"/>
      <c r="T491" s="295"/>
      <c r="U491" s="327"/>
      <c r="V491" s="328"/>
    </row>
    <row r="492" spans="1:22" s="51" customFormat="1" ht="33.75" thickBot="1" x14ac:dyDescent="0.25">
      <c r="A492" s="212"/>
      <c r="B492" s="268" t="s">
        <v>6</v>
      </c>
      <c r="C492" s="173" t="s">
        <v>144</v>
      </c>
      <c r="D492" s="173" t="s">
        <v>139</v>
      </c>
      <c r="E492" s="173" t="s">
        <v>145</v>
      </c>
      <c r="F492" s="174" t="s">
        <v>140</v>
      </c>
      <c r="G492" s="282"/>
      <c r="H492" s="329" t="s">
        <v>217</v>
      </c>
      <c r="I492" s="329" t="s">
        <v>218</v>
      </c>
      <c r="J492" s="330"/>
      <c r="K492" s="331"/>
      <c r="L492" s="518"/>
      <c r="M492" s="518"/>
      <c r="N492" s="268" t="s">
        <v>10</v>
      </c>
      <c r="O492" s="173" t="s">
        <v>11</v>
      </c>
      <c r="P492" s="173" t="s">
        <v>120</v>
      </c>
      <c r="Q492" s="330"/>
      <c r="R492" s="173" t="s">
        <v>219</v>
      </c>
      <c r="S492" s="174" t="s">
        <v>116</v>
      </c>
      <c r="T492" s="283" t="s">
        <v>141</v>
      </c>
      <c r="U492" s="173" t="s">
        <v>143</v>
      </c>
      <c r="V492" s="174" t="s">
        <v>142</v>
      </c>
    </row>
    <row r="493" spans="1:22" s="51" customFormat="1" ht="12.75" customHeight="1" x14ac:dyDescent="0.25">
      <c r="A493" s="213"/>
      <c r="B493" s="269"/>
      <c r="C493" s="214"/>
      <c r="D493" s="214"/>
      <c r="E493" s="214"/>
      <c r="F493" s="215"/>
      <c r="G493" s="269"/>
      <c r="H493" s="332"/>
      <c r="I493" s="332"/>
      <c r="J493" s="214"/>
      <c r="K493" s="215"/>
      <c r="L493" s="214"/>
      <c r="M493" s="214"/>
      <c r="N493" s="269"/>
      <c r="O493" s="214"/>
      <c r="P493" s="214"/>
      <c r="Q493" s="214"/>
      <c r="R493" s="214"/>
      <c r="S493" s="215"/>
      <c r="T493" s="333"/>
      <c r="U493" s="334"/>
      <c r="V493" s="335"/>
    </row>
    <row r="494" spans="1:22" s="51" customFormat="1" ht="16.5" x14ac:dyDescent="0.25">
      <c r="A494" s="450" t="s">
        <v>270</v>
      </c>
      <c r="B494" s="336" t="s">
        <v>12</v>
      </c>
      <c r="C494" s="334">
        <f>'RETRIBUCIONES 2025'!$D$21</f>
        <v>2623.03</v>
      </c>
      <c r="D494" s="334">
        <f>C494*12</f>
        <v>31476.36</v>
      </c>
      <c r="E494" s="334">
        <f>8*'RETRIBUCIONES 2025'!$E$21</f>
        <v>358.16</v>
      </c>
      <c r="F494" s="337">
        <f>E494*12</f>
        <v>4297.92</v>
      </c>
      <c r="G494" s="338"/>
      <c r="H494" s="339">
        <f>'RETRIBUCIONES 2025'!$D$25</f>
        <v>70.209999999999994</v>
      </c>
      <c r="I494" s="339">
        <f>H494*12</f>
        <v>842.52</v>
      </c>
      <c r="J494" s="340"/>
      <c r="K494" s="341"/>
      <c r="L494" s="340">
        <f>C494+E494+H494</f>
        <v>3051.4</v>
      </c>
      <c r="M494" s="340">
        <f>D494+F494+I494</f>
        <v>36616.799999999996</v>
      </c>
      <c r="N494" s="342">
        <f>C494</f>
        <v>2623.03</v>
      </c>
      <c r="O494" s="340">
        <f>E494</f>
        <v>358.16</v>
      </c>
      <c r="P494" s="340">
        <f>SUM(N494:O494)</f>
        <v>2981.19</v>
      </c>
      <c r="Q494" s="340"/>
      <c r="R494" s="340">
        <f>H494</f>
        <v>70.209999999999994</v>
      </c>
      <c r="S494" s="341">
        <f>P494+R494</f>
        <v>3051.4</v>
      </c>
      <c r="T494" s="334">
        <f>M494+S494*2</f>
        <v>42719.6</v>
      </c>
      <c r="U494" s="334">
        <f>T494*0.33</f>
        <v>14097.468000000001</v>
      </c>
      <c r="V494" s="335">
        <f>SUM(T494:U494)</f>
        <v>56817.067999999999</v>
      </c>
    </row>
    <row r="495" spans="1:22" s="51" customFormat="1" ht="12.75" customHeight="1" x14ac:dyDescent="0.25">
      <c r="A495" s="471"/>
      <c r="B495" s="336"/>
      <c r="C495" s="334"/>
      <c r="D495" s="334"/>
      <c r="E495" s="334"/>
      <c r="F495" s="337"/>
      <c r="G495" s="338"/>
      <c r="H495" s="339"/>
      <c r="I495" s="339"/>
      <c r="J495" s="340"/>
      <c r="K495" s="341"/>
      <c r="L495" s="340"/>
      <c r="M495" s="340"/>
      <c r="N495" s="342"/>
      <c r="O495" s="340"/>
      <c r="P495" s="340"/>
      <c r="Q495" s="340"/>
      <c r="R495" s="340"/>
      <c r="S495" s="341"/>
      <c r="T495" s="334"/>
      <c r="U495" s="334"/>
      <c r="V495" s="335"/>
    </row>
    <row r="496" spans="1:22" s="51" customFormat="1" ht="16.5" x14ac:dyDescent="0.25">
      <c r="A496" s="450" t="s">
        <v>271</v>
      </c>
      <c r="B496" s="336" t="s">
        <v>12</v>
      </c>
      <c r="C496" s="334">
        <f>'RETRIBUCIONES 2025'!$D$21</f>
        <v>2623.03</v>
      </c>
      <c r="D496" s="334">
        <f t="shared" ref="D496:D522" si="178">C496*12</f>
        <v>31476.36</v>
      </c>
      <c r="E496" s="340">
        <f>'RETRIBUCIONES 2025'!$E$22*10</f>
        <v>286.70000000000005</v>
      </c>
      <c r="F496" s="337">
        <f t="shared" ref="F496:F522" si="179">E496*12</f>
        <v>3440.4000000000005</v>
      </c>
      <c r="G496" s="338"/>
      <c r="H496" s="339">
        <f>'RETRIBUCIONES 2025'!D24+'RETRIBUCIONES 2025'!D25</f>
        <v>227.93</v>
      </c>
      <c r="I496" s="339">
        <f t="shared" ref="I496:I522" si="180">H496*12</f>
        <v>2735.16</v>
      </c>
      <c r="J496" s="340"/>
      <c r="K496" s="341"/>
      <c r="L496" s="340">
        <f>C496+E496+H496</f>
        <v>3137.6600000000003</v>
      </c>
      <c r="M496" s="340">
        <f>D496+F496+I496</f>
        <v>37651.919999999998</v>
      </c>
      <c r="N496" s="342">
        <f t="shared" ref="N496:N522" si="181">C496</f>
        <v>2623.03</v>
      </c>
      <c r="O496" s="340">
        <f t="shared" ref="O496:O522" si="182">E496</f>
        <v>286.70000000000005</v>
      </c>
      <c r="P496" s="340">
        <f t="shared" ref="P496:P524" si="183">SUM(N496:O496)</f>
        <v>2909.7300000000005</v>
      </c>
      <c r="Q496" s="340"/>
      <c r="R496" s="340">
        <f>H496</f>
        <v>227.93</v>
      </c>
      <c r="S496" s="341">
        <f t="shared" ref="S496:S522" si="184">P496+R496</f>
        <v>3137.6600000000003</v>
      </c>
      <c r="T496" s="334">
        <f t="shared" ref="T496:T524" si="185">M496+S496*2</f>
        <v>43927.24</v>
      </c>
      <c r="U496" s="334">
        <f t="shared" ref="U496:U522" si="186">T496*0.33</f>
        <v>14495.9892</v>
      </c>
      <c r="V496" s="335">
        <f t="shared" ref="V496:V522" si="187">SUM(T496:U496)</f>
        <v>58423.229200000002</v>
      </c>
    </row>
    <row r="497" spans="1:22" s="51" customFormat="1" ht="12.75" customHeight="1" x14ac:dyDescent="0.25">
      <c r="A497" s="471"/>
      <c r="B497" s="336"/>
      <c r="C497" s="334"/>
      <c r="D497" s="334"/>
      <c r="E497" s="334"/>
      <c r="F497" s="337"/>
      <c r="G497" s="338"/>
      <c r="H497" s="339"/>
      <c r="I497" s="339"/>
      <c r="J497" s="340"/>
      <c r="K497" s="341"/>
      <c r="L497" s="340"/>
      <c r="M497" s="340"/>
      <c r="N497" s="342"/>
      <c r="O497" s="340"/>
      <c r="P497" s="340"/>
      <c r="Q497" s="340"/>
      <c r="R497" s="340"/>
      <c r="S497" s="341"/>
      <c r="T497" s="334"/>
      <c r="U497" s="334"/>
      <c r="V497" s="335"/>
    </row>
    <row r="498" spans="1:22" s="149" customFormat="1" ht="16.5" x14ac:dyDescent="0.25">
      <c r="A498" s="472" t="s">
        <v>18</v>
      </c>
      <c r="B498" s="344"/>
      <c r="C498" s="279">
        <f>SUM(C494:C496)</f>
        <v>5246.06</v>
      </c>
      <c r="D498" s="279">
        <f t="shared" ref="D498:F498" si="188">SUM(D494:D496)</f>
        <v>62952.72</v>
      </c>
      <c r="E498" s="279">
        <f t="shared" si="188"/>
        <v>644.86000000000013</v>
      </c>
      <c r="F498" s="345">
        <f t="shared" si="188"/>
        <v>7738.3200000000006</v>
      </c>
      <c r="G498" s="346"/>
      <c r="H498" s="279">
        <f>SUM(H494:H496)</f>
        <v>298.14</v>
      </c>
      <c r="I498" s="279">
        <f>SUM(I494:I496)</f>
        <v>3577.68</v>
      </c>
      <c r="J498" s="347"/>
      <c r="K498" s="348"/>
      <c r="L498" s="279">
        <f>SUM(L494:L496)</f>
        <v>6189.06</v>
      </c>
      <c r="M498" s="279">
        <f t="shared" ref="M498:O498" si="189">SUM(M494:M496)</f>
        <v>74268.72</v>
      </c>
      <c r="N498" s="343">
        <f t="shared" si="189"/>
        <v>5246.06</v>
      </c>
      <c r="O498" s="279">
        <f t="shared" si="189"/>
        <v>644.86000000000013</v>
      </c>
      <c r="P498" s="347">
        <f t="shared" si="183"/>
        <v>5890.92</v>
      </c>
      <c r="Q498" s="347"/>
      <c r="R498" s="279">
        <f>SUM(R494:R496)</f>
        <v>298.14</v>
      </c>
      <c r="S498" s="348">
        <f>SUM(S494:S496)</f>
        <v>6189.06</v>
      </c>
      <c r="T498" s="279">
        <f t="shared" si="185"/>
        <v>86646.84</v>
      </c>
      <c r="U498" s="279">
        <f>SUM(U494:U496)</f>
        <v>28593.457200000001</v>
      </c>
      <c r="V498" s="345">
        <f>SUM(V494:V496)</f>
        <v>115240.2972</v>
      </c>
    </row>
    <row r="499" spans="1:22" s="51" customFormat="1" ht="12.75" customHeight="1" x14ac:dyDescent="0.25">
      <c r="A499" s="471"/>
      <c r="B499" s="336"/>
      <c r="C499" s="334"/>
      <c r="D499" s="334"/>
      <c r="E499" s="334"/>
      <c r="F499" s="337"/>
      <c r="G499" s="338"/>
      <c r="H499" s="339"/>
      <c r="I499" s="339"/>
      <c r="J499" s="340"/>
      <c r="K499" s="341"/>
      <c r="L499" s="340"/>
      <c r="M499" s="340"/>
      <c r="N499" s="342"/>
      <c r="O499" s="340"/>
      <c r="P499" s="340"/>
      <c r="Q499" s="340"/>
      <c r="R499" s="340"/>
      <c r="S499" s="341"/>
      <c r="T499" s="334"/>
      <c r="U499" s="334"/>
      <c r="V499" s="335"/>
    </row>
    <row r="500" spans="1:22" s="51" customFormat="1" ht="16.5" x14ac:dyDescent="0.25">
      <c r="A500" s="450" t="s">
        <v>272</v>
      </c>
      <c r="B500" s="336" t="s">
        <v>13</v>
      </c>
      <c r="C500" s="334">
        <f>'RETRIBUCIONES 2025'!$D$20</f>
        <v>2096.33</v>
      </c>
      <c r="D500" s="334">
        <f t="shared" si="178"/>
        <v>25155.96</v>
      </c>
      <c r="E500" s="334">
        <f>'RETRIBUCIONES 2025'!C5</f>
        <v>41.65</v>
      </c>
      <c r="F500" s="337">
        <f t="shared" si="179"/>
        <v>499.79999999999995</v>
      </c>
      <c r="G500" s="338"/>
      <c r="H500" s="339">
        <f>'RETRIBUCIONES 2025'!$D$25</f>
        <v>70.209999999999994</v>
      </c>
      <c r="I500" s="339">
        <f t="shared" si="180"/>
        <v>842.52</v>
      </c>
      <c r="J500" s="340"/>
      <c r="K500" s="341"/>
      <c r="L500" s="340">
        <f>C500+E500+H500</f>
        <v>2208.19</v>
      </c>
      <c r="M500" s="340">
        <f>D500+F500+I500</f>
        <v>26498.28</v>
      </c>
      <c r="N500" s="342">
        <f t="shared" si="181"/>
        <v>2096.33</v>
      </c>
      <c r="O500" s="340">
        <f t="shared" si="182"/>
        <v>41.65</v>
      </c>
      <c r="P500" s="340">
        <f t="shared" si="183"/>
        <v>2137.98</v>
      </c>
      <c r="Q500" s="340"/>
      <c r="R500" s="340">
        <f>H500</f>
        <v>70.209999999999994</v>
      </c>
      <c r="S500" s="341">
        <f t="shared" si="184"/>
        <v>2208.19</v>
      </c>
      <c r="T500" s="334">
        <f t="shared" si="185"/>
        <v>30914.66</v>
      </c>
      <c r="U500" s="334">
        <f t="shared" si="186"/>
        <v>10201.837800000001</v>
      </c>
      <c r="V500" s="335">
        <f t="shared" si="187"/>
        <v>41116.497799999997</v>
      </c>
    </row>
    <row r="501" spans="1:22" s="51" customFormat="1" ht="16.5" x14ac:dyDescent="0.25">
      <c r="A501" s="471"/>
      <c r="B501" s="336"/>
      <c r="C501" s="334"/>
      <c r="D501" s="334"/>
      <c r="E501" s="334"/>
      <c r="F501" s="337"/>
      <c r="G501" s="338"/>
      <c r="H501" s="339"/>
      <c r="I501" s="339"/>
      <c r="J501" s="340"/>
      <c r="K501" s="341"/>
      <c r="L501" s="340"/>
      <c r="M501" s="340"/>
      <c r="N501" s="342"/>
      <c r="O501" s="340"/>
      <c r="P501" s="340"/>
      <c r="Q501" s="340"/>
      <c r="R501" s="340"/>
      <c r="S501" s="341"/>
      <c r="T501" s="334"/>
      <c r="U501" s="334"/>
      <c r="V501" s="335"/>
    </row>
    <row r="502" spans="1:22" s="149" customFormat="1" ht="16.5" x14ac:dyDescent="0.25">
      <c r="A502" s="472" t="s">
        <v>19</v>
      </c>
      <c r="B502" s="344"/>
      <c r="C502" s="279">
        <f>SUM(C500:C501)</f>
        <v>2096.33</v>
      </c>
      <c r="D502" s="279">
        <f t="shared" ref="D502:F502" si="190">SUM(D500:D501)</f>
        <v>25155.96</v>
      </c>
      <c r="E502" s="279">
        <f t="shared" si="190"/>
        <v>41.65</v>
      </c>
      <c r="F502" s="345">
        <f t="shared" si="190"/>
        <v>499.79999999999995</v>
      </c>
      <c r="G502" s="346"/>
      <c r="H502" s="279">
        <f>SUM(H500:H501)</f>
        <v>70.209999999999994</v>
      </c>
      <c r="I502" s="279">
        <f>SUM(I500:I501)</f>
        <v>842.52</v>
      </c>
      <c r="J502" s="347"/>
      <c r="K502" s="348"/>
      <c r="L502" s="279">
        <f>SUM(L500:L501)</f>
        <v>2208.19</v>
      </c>
      <c r="M502" s="279">
        <f t="shared" ref="M502:O502" si="191">SUM(M500:M501)</f>
        <v>26498.28</v>
      </c>
      <c r="N502" s="343">
        <f t="shared" si="191"/>
        <v>2096.33</v>
      </c>
      <c r="O502" s="279">
        <f t="shared" si="191"/>
        <v>41.65</v>
      </c>
      <c r="P502" s="347">
        <f t="shared" si="183"/>
        <v>2137.98</v>
      </c>
      <c r="Q502" s="347"/>
      <c r="R502" s="279">
        <f>SUM(R500:R501)</f>
        <v>70.209999999999994</v>
      </c>
      <c r="S502" s="348">
        <f>SUM(S500)</f>
        <v>2208.19</v>
      </c>
      <c r="T502" s="334">
        <f t="shared" si="185"/>
        <v>30914.66</v>
      </c>
      <c r="U502" s="279">
        <f>SUM(U500:U501)</f>
        <v>10201.837800000001</v>
      </c>
      <c r="V502" s="345">
        <f>SUM(V500:V501)</f>
        <v>41116.497799999997</v>
      </c>
    </row>
    <row r="503" spans="1:22" s="51" customFormat="1" ht="12.75" customHeight="1" x14ac:dyDescent="0.25">
      <c r="A503" s="471"/>
      <c r="B503" s="336"/>
      <c r="C503" s="334"/>
      <c r="D503" s="334"/>
      <c r="E503" s="334"/>
      <c r="F503" s="337"/>
      <c r="G503" s="338"/>
      <c r="H503" s="339"/>
      <c r="I503" s="339"/>
      <c r="J503" s="340"/>
      <c r="K503" s="341"/>
      <c r="L503" s="340"/>
      <c r="M503" s="340"/>
      <c r="N503" s="342"/>
      <c r="O503" s="340"/>
      <c r="P503" s="340"/>
      <c r="Q503" s="340"/>
      <c r="R503" s="340"/>
      <c r="S503" s="341"/>
      <c r="T503" s="334"/>
      <c r="U503" s="334"/>
      <c r="V503" s="335"/>
    </row>
    <row r="504" spans="1:22" s="51" customFormat="1" ht="16.5" x14ac:dyDescent="0.25">
      <c r="A504" s="450" t="s">
        <v>273</v>
      </c>
      <c r="B504" s="336" t="s">
        <v>15</v>
      </c>
      <c r="C504" s="334">
        <f>'RETRIBUCIONES 2025'!$D$22</f>
        <v>1662.26</v>
      </c>
      <c r="D504" s="334">
        <f t="shared" si="178"/>
        <v>19947.12</v>
      </c>
      <c r="E504" s="334">
        <f>'RETRIBUCIONES 2025'!$E$22*11</f>
        <v>315.37</v>
      </c>
      <c r="F504" s="337">
        <f t="shared" si="179"/>
        <v>3784.44</v>
      </c>
      <c r="G504" s="338"/>
      <c r="H504" s="339">
        <f>'RETRIBUCIONES 2025'!$D$25</f>
        <v>70.209999999999994</v>
      </c>
      <c r="I504" s="339">
        <f t="shared" si="180"/>
        <v>842.52</v>
      </c>
      <c r="J504" s="340"/>
      <c r="K504" s="341"/>
      <c r="L504" s="340">
        <f>C504+E504+H504</f>
        <v>2047.8400000000001</v>
      </c>
      <c r="M504" s="340">
        <f>D504+F504+I504</f>
        <v>24574.079999999998</v>
      </c>
      <c r="N504" s="342">
        <f t="shared" si="181"/>
        <v>1662.26</v>
      </c>
      <c r="O504" s="340">
        <f t="shared" si="182"/>
        <v>315.37</v>
      </c>
      <c r="P504" s="340">
        <f t="shared" si="183"/>
        <v>1977.63</v>
      </c>
      <c r="Q504" s="340"/>
      <c r="R504" s="340">
        <f>H504</f>
        <v>70.209999999999994</v>
      </c>
      <c r="S504" s="341">
        <f t="shared" si="184"/>
        <v>2047.8400000000001</v>
      </c>
      <c r="T504" s="334">
        <f t="shared" si="185"/>
        <v>28669.759999999998</v>
      </c>
      <c r="U504" s="334">
        <f t="shared" si="186"/>
        <v>9461.0208000000002</v>
      </c>
      <c r="V504" s="335">
        <f t="shared" si="187"/>
        <v>38130.7808</v>
      </c>
    </row>
    <row r="505" spans="1:22" s="51" customFormat="1" ht="12.75" customHeight="1" x14ac:dyDescent="0.25">
      <c r="A505" s="471"/>
      <c r="B505" s="336"/>
      <c r="C505" s="334"/>
      <c r="D505" s="334"/>
      <c r="E505" s="334"/>
      <c r="F505" s="337"/>
      <c r="G505" s="338"/>
      <c r="H505" s="339"/>
      <c r="I505" s="339"/>
      <c r="J505" s="340"/>
      <c r="K505" s="341"/>
      <c r="L505" s="340"/>
      <c r="M505" s="340"/>
      <c r="N505" s="342"/>
      <c r="O505" s="340"/>
      <c r="P505" s="340"/>
      <c r="Q505" s="340"/>
      <c r="R505" s="340"/>
      <c r="S505" s="341"/>
      <c r="T505" s="334"/>
      <c r="U505" s="334"/>
      <c r="V505" s="335"/>
    </row>
    <row r="506" spans="1:22" s="51" customFormat="1" ht="16.5" x14ac:dyDescent="0.25">
      <c r="A506" s="450" t="s">
        <v>273</v>
      </c>
      <c r="B506" s="336" t="s">
        <v>15</v>
      </c>
      <c r="C506" s="334">
        <f>'RETRIBUCIONES 2025'!$D$22</f>
        <v>1662.26</v>
      </c>
      <c r="D506" s="334">
        <f t="shared" si="178"/>
        <v>19947.12</v>
      </c>
      <c r="E506" s="334">
        <f>'RETRIBUCIONES 2025'!$E$22*3</f>
        <v>86.01</v>
      </c>
      <c r="F506" s="337">
        <f t="shared" si="179"/>
        <v>1032.1200000000001</v>
      </c>
      <c r="G506" s="338"/>
      <c r="H506" s="339">
        <f>'RETRIBUCIONES 2025'!$D$25</f>
        <v>70.209999999999994</v>
      </c>
      <c r="I506" s="339">
        <f t="shared" si="180"/>
        <v>842.52</v>
      </c>
      <c r="J506" s="340"/>
      <c r="K506" s="341"/>
      <c r="L506" s="340">
        <f>C506+E506+H506</f>
        <v>1818.48</v>
      </c>
      <c r="M506" s="340">
        <f>D506+F506+I506</f>
        <v>21821.759999999998</v>
      </c>
      <c r="N506" s="342">
        <f t="shared" si="181"/>
        <v>1662.26</v>
      </c>
      <c r="O506" s="340">
        <f t="shared" si="182"/>
        <v>86.01</v>
      </c>
      <c r="P506" s="340">
        <f t="shared" si="183"/>
        <v>1748.27</v>
      </c>
      <c r="Q506" s="340"/>
      <c r="R506" s="340">
        <f>H506</f>
        <v>70.209999999999994</v>
      </c>
      <c r="S506" s="341">
        <f t="shared" si="184"/>
        <v>1818.48</v>
      </c>
      <c r="T506" s="334">
        <f t="shared" si="185"/>
        <v>25458.719999999998</v>
      </c>
      <c r="U506" s="334">
        <f t="shared" si="186"/>
        <v>8401.3775999999998</v>
      </c>
      <c r="V506" s="335">
        <f t="shared" si="187"/>
        <v>33860.097599999994</v>
      </c>
    </row>
    <row r="507" spans="1:22" s="51" customFormat="1" ht="12.75" customHeight="1" x14ac:dyDescent="0.25">
      <c r="A507" s="471"/>
      <c r="B507" s="336"/>
      <c r="C507" s="334"/>
      <c r="D507" s="334"/>
      <c r="E507" s="334"/>
      <c r="F507" s="337"/>
      <c r="G507" s="338"/>
      <c r="H507" s="339"/>
      <c r="I507" s="339"/>
      <c r="J507" s="340"/>
      <c r="K507" s="341"/>
      <c r="L507" s="340"/>
      <c r="M507" s="340"/>
      <c r="N507" s="342"/>
      <c r="O507" s="340"/>
      <c r="P507" s="340"/>
      <c r="Q507" s="340"/>
      <c r="R507" s="340"/>
      <c r="S507" s="341"/>
      <c r="T507" s="334"/>
      <c r="U507" s="334"/>
      <c r="V507" s="335"/>
    </row>
    <row r="508" spans="1:22" s="51" customFormat="1" ht="16.5" x14ac:dyDescent="0.25">
      <c r="A508" s="450" t="s">
        <v>273</v>
      </c>
      <c r="B508" s="336" t="s">
        <v>15</v>
      </c>
      <c r="C508" s="334">
        <f>'RETRIBUCIONES 2025'!$D$22</f>
        <v>1662.26</v>
      </c>
      <c r="D508" s="334">
        <f t="shared" si="178"/>
        <v>19947.12</v>
      </c>
      <c r="E508" s="334">
        <v>0</v>
      </c>
      <c r="F508" s="337">
        <f t="shared" si="179"/>
        <v>0</v>
      </c>
      <c r="G508" s="338"/>
      <c r="H508" s="339">
        <f>'RETRIBUCIONES 2025'!$D$25</f>
        <v>70.209999999999994</v>
      </c>
      <c r="I508" s="339">
        <f t="shared" si="180"/>
        <v>842.52</v>
      </c>
      <c r="J508" s="340"/>
      <c r="K508" s="341"/>
      <c r="L508" s="340">
        <f>C508+E508+H508</f>
        <v>1732.47</v>
      </c>
      <c r="M508" s="340">
        <f>D508+F508+I508</f>
        <v>20789.64</v>
      </c>
      <c r="N508" s="342">
        <f t="shared" si="181"/>
        <v>1662.26</v>
      </c>
      <c r="O508" s="340">
        <f t="shared" si="182"/>
        <v>0</v>
      </c>
      <c r="P508" s="340">
        <f t="shared" si="183"/>
        <v>1662.26</v>
      </c>
      <c r="Q508" s="340"/>
      <c r="R508" s="340">
        <f>H508</f>
        <v>70.209999999999994</v>
      </c>
      <c r="S508" s="341">
        <f t="shared" si="184"/>
        <v>1732.47</v>
      </c>
      <c r="T508" s="334">
        <f t="shared" si="185"/>
        <v>24254.579999999998</v>
      </c>
      <c r="U508" s="334">
        <f t="shared" si="186"/>
        <v>8004.0113999999994</v>
      </c>
      <c r="V508" s="335">
        <f t="shared" si="187"/>
        <v>32258.591399999998</v>
      </c>
    </row>
    <row r="509" spans="1:22" s="51" customFormat="1" ht="12.75" customHeight="1" x14ac:dyDescent="0.25">
      <c r="A509" s="471"/>
      <c r="B509" s="336"/>
      <c r="C509" s="334"/>
      <c r="D509" s="334"/>
      <c r="E509" s="334"/>
      <c r="F509" s="337"/>
      <c r="G509" s="338"/>
      <c r="H509" s="339"/>
      <c r="I509" s="339"/>
      <c r="J509" s="340"/>
      <c r="K509" s="341"/>
      <c r="L509" s="340"/>
      <c r="M509" s="340"/>
      <c r="N509" s="342"/>
      <c r="O509" s="340"/>
      <c r="P509" s="340"/>
      <c r="Q509" s="340"/>
      <c r="R509" s="340"/>
      <c r="S509" s="341"/>
      <c r="T509" s="334"/>
      <c r="U509" s="334"/>
      <c r="V509" s="335"/>
    </row>
    <row r="510" spans="1:22" s="51" customFormat="1" ht="16.5" x14ac:dyDescent="0.25">
      <c r="A510" s="450" t="s">
        <v>273</v>
      </c>
      <c r="B510" s="336" t="s">
        <v>15</v>
      </c>
      <c r="C510" s="334">
        <f>'RETRIBUCIONES 2025'!$D$22</f>
        <v>1662.26</v>
      </c>
      <c r="D510" s="334">
        <f t="shared" si="178"/>
        <v>19947.12</v>
      </c>
      <c r="E510" s="334">
        <f>'RETRIBUCIONES 2025'!$E$22*2</f>
        <v>57.34</v>
      </c>
      <c r="F510" s="337">
        <f t="shared" si="179"/>
        <v>688.08</v>
      </c>
      <c r="G510" s="338"/>
      <c r="H510" s="339">
        <f>'RETRIBUCIONES 2025'!$D$25</f>
        <v>70.209999999999994</v>
      </c>
      <c r="I510" s="339">
        <f t="shared" si="180"/>
        <v>842.52</v>
      </c>
      <c r="J510" s="340"/>
      <c r="K510" s="341"/>
      <c r="L510" s="340">
        <f>C510+E510+H510</f>
        <v>1789.81</v>
      </c>
      <c r="M510" s="340">
        <f>D510+F510+I510</f>
        <v>21477.72</v>
      </c>
      <c r="N510" s="342">
        <f t="shared" si="181"/>
        <v>1662.26</v>
      </c>
      <c r="O510" s="340">
        <f t="shared" si="182"/>
        <v>57.34</v>
      </c>
      <c r="P510" s="340">
        <f t="shared" si="183"/>
        <v>1719.6</v>
      </c>
      <c r="Q510" s="340"/>
      <c r="R510" s="340">
        <f>H510</f>
        <v>70.209999999999994</v>
      </c>
      <c r="S510" s="341">
        <f t="shared" si="184"/>
        <v>1789.81</v>
      </c>
      <c r="T510" s="334">
        <f t="shared" si="185"/>
        <v>25057.34</v>
      </c>
      <c r="U510" s="334">
        <f t="shared" si="186"/>
        <v>8268.9222000000009</v>
      </c>
      <c r="V510" s="335">
        <f t="shared" si="187"/>
        <v>33326.262199999997</v>
      </c>
    </row>
    <row r="511" spans="1:22" s="51" customFormat="1" ht="12.75" customHeight="1" x14ac:dyDescent="0.25">
      <c r="A511" s="471"/>
      <c r="B511" s="336"/>
      <c r="C511" s="334"/>
      <c r="D511" s="334"/>
      <c r="E511" s="334"/>
      <c r="F511" s="337"/>
      <c r="G511" s="338"/>
      <c r="H511" s="339"/>
      <c r="I511" s="339"/>
      <c r="J511" s="340"/>
      <c r="K511" s="341"/>
      <c r="L511" s="340"/>
      <c r="M511" s="340"/>
      <c r="N511" s="342"/>
      <c r="O511" s="340"/>
      <c r="P511" s="340"/>
      <c r="Q511" s="340"/>
      <c r="R511" s="340"/>
      <c r="S511" s="341"/>
      <c r="T511" s="334"/>
      <c r="U511" s="334"/>
      <c r="V511" s="335"/>
    </row>
    <row r="512" spans="1:22" s="157" customFormat="1" ht="16.5" x14ac:dyDescent="0.25">
      <c r="A512" s="450" t="s">
        <v>273</v>
      </c>
      <c r="B512" s="336" t="s">
        <v>15</v>
      </c>
      <c r="C512" s="334">
        <f>'RETRIBUCIONES 2025'!$D$22</f>
        <v>1662.26</v>
      </c>
      <c r="D512" s="334">
        <f t="shared" si="178"/>
        <v>19947.12</v>
      </c>
      <c r="E512" s="334">
        <v>0</v>
      </c>
      <c r="F512" s="337">
        <f t="shared" si="179"/>
        <v>0</v>
      </c>
      <c r="G512" s="342"/>
      <c r="H512" s="339">
        <f>'RETRIBUCIONES 2025'!$D$25</f>
        <v>70.209999999999994</v>
      </c>
      <c r="I512" s="339">
        <f t="shared" si="180"/>
        <v>842.52</v>
      </c>
      <c r="J512" s="334"/>
      <c r="K512" s="335"/>
      <c r="L512" s="334">
        <f>C512+E512+H512</f>
        <v>1732.47</v>
      </c>
      <c r="M512" s="334">
        <f>D512+F512+I512</f>
        <v>20789.64</v>
      </c>
      <c r="N512" s="342">
        <f t="shared" si="181"/>
        <v>1662.26</v>
      </c>
      <c r="O512" s="334">
        <f t="shared" si="182"/>
        <v>0</v>
      </c>
      <c r="P512" s="334">
        <f t="shared" si="183"/>
        <v>1662.26</v>
      </c>
      <c r="Q512" s="334"/>
      <c r="R512" s="334">
        <f>H512</f>
        <v>70.209999999999994</v>
      </c>
      <c r="S512" s="335">
        <f t="shared" si="184"/>
        <v>1732.47</v>
      </c>
      <c r="T512" s="334">
        <f t="shared" si="185"/>
        <v>24254.579999999998</v>
      </c>
      <c r="U512" s="334">
        <f t="shared" si="186"/>
        <v>8004.0113999999994</v>
      </c>
      <c r="V512" s="335">
        <f t="shared" si="187"/>
        <v>32258.591399999998</v>
      </c>
    </row>
    <row r="513" spans="1:22" s="51" customFormat="1" ht="12.75" customHeight="1" x14ac:dyDescent="0.25">
      <c r="A513" s="472"/>
      <c r="B513" s="336"/>
      <c r="C513" s="334"/>
      <c r="D513" s="334"/>
      <c r="E513" s="334"/>
      <c r="F513" s="337"/>
      <c r="G513" s="338"/>
      <c r="H513" s="339"/>
      <c r="I513" s="339"/>
      <c r="J513" s="340"/>
      <c r="K513" s="341"/>
      <c r="L513" s="340"/>
      <c r="M513" s="340"/>
      <c r="N513" s="342"/>
      <c r="O513" s="340"/>
      <c r="P513" s="340"/>
      <c r="Q513" s="340"/>
      <c r="R513" s="340"/>
      <c r="S513" s="341"/>
      <c r="T513" s="334"/>
      <c r="U513" s="334"/>
      <c r="V513" s="335"/>
    </row>
    <row r="514" spans="1:22" s="51" customFormat="1" ht="16.5" x14ac:dyDescent="0.25">
      <c r="A514" s="450" t="s">
        <v>273</v>
      </c>
      <c r="B514" s="336" t="s">
        <v>15</v>
      </c>
      <c r="C514" s="334">
        <f>'RETRIBUCIONES 2025'!$D$22</f>
        <v>1662.26</v>
      </c>
      <c r="D514" s="334">
        <f t="shared" si="178"/>
        <v>19947.12</v>
      </c>
      <c r="E514" s="334">
        <f>2*'RETRIBUCIONES 2025'!$E$23+5*'RETRIBUCIONES 2025'!$E$22</f>
        <v>183.09000000000003</v>
      </c>
      <c r="F514" s="337">
        <f t="shared" si="179"/>
        <v>2197.0800000000004</v>
      </c>
      <c r="G514" s="338"/>
      <c r="H514" s="339">
        <f>'RETRIBUCIONES 2025'!$D$25</f>
        <v>70.209999999999994</v>
      </c>
      <c r="I514" s="339">
        <f t="shared" si="180"/>
        <v>842.52</v>
      </c>
      <c r="J514" s="340"/>
      <c r="K514" s="341"/>
      <c r="L514" s="340">
        <f>C514+E514+H514</f>
        <v>1915.56</v>
      </c>
      <c r="M514" s="340">
        <f>D514+F514+I514</f>
        <v>22986.720000000001</v>
      </c>
      <c r="N514" s="342">
        <f t="shared" si="181"/>
        <v>1662.26</v>
      </c>
      <c r="O514" s="340">
        <f t="shared" si="182"/>
        <v>183.09000000000003</v>
      </c>
      <c r="P514" s="340">
        <f t="shared" si="183"/>
        <v>1845.35</v>
      </c>
      <c r="Q514" s="340"/>
      <c r="R514" s="340">
        <f>H514</f>
        <v>70.209999999999994</v>
      </c>
      <c r="S514" s="341">
        <f t="shared" si="184"/>
        <v>1915.56</v>
      </c>
      <c r="T514" s="334">
        <f t="shared" si="185"/>
        <v>26817.84</v>
      </c>
      <c r="U514" s="334">
        <f t="shared" si="186"/>
        <v>8849.887200000001</v>
      </c>
      <c r="V514" s="335">
        <f t="shared" si="187"/>
        <v>35667.727200000001</v>
      </c>
    </row>
    <row r="515" spans="1:22" s="51" customFormat="1" ht="12.75" customHeight="1" x14ac:dyDescent="0.25">
      <c r="A515" s="471"/>
      <c r="B515" s="336"/>
      <c r="C515" s="334"/>
      <c r="D515" s="334"/>
      <c r="E515" s="334"/>
      <c r="F515" s="337"/>
      <c r="G515" s="338"/>
      <c r="H515" s="339"/>
      <c r="I515" s="339"/>
      <c r="J515" s="340"/>
      <c r="K515" s="341"/>
      <c r="L515" s="340"/>
      <c r="M515" s="340"/>
      <c r="N515" s="342"/>
      <c r="O515" s="340"/>
      <c r="P515" s="340"/>
      <c r="Q515" s="340"/>
      <c r="R515" s="340"/>
      <c r="S515" s="341"/>
      <c r="T515" s="334"/>
      <c r="U515" s="334"/>
      <c r="V515" s="335"/>
    </row>
    <row r="516" spans="1:22" s="51" customFormat="1" ht="16.5" x14ac:dyDescent="0.25">
      <c r="A516" s="450" t="s">
        <v>273</v>
      </c>
      <c r="B516" s="336" t="s">
        <v>15</v>
      </c>
      <c r="C516" s="334">
        <f>'RETRIBUCIONES 2025'!$D$22</f>
        <v>1662.26</v>
      </c>
      <c r="D516" s="334">
        <f t="shared" si="178"/>
        <v>19947.12</v>
      </c>
      <c r="E516" s="334">
        <f>10*'RETRIBUCIONES 2025'!$E$22</f>
        <v>286.70000000000005</v>
      </c>
      <c r="F516" s="337">
        <f t="shared" si="179"/>
        <v>3440.4000000000005</v>
      </c>
      <c r="G516" s="338"/>
      <c r="H516" s="339">
        <f>'RETRIBUCIONES 2025'!$D$25</f>
        <v>70.209999999999994</v>
      </c>
      <c r="I516" s="339">
        <f t="shared" si="180"/>
        <v>842.52</v>
      </c>
      <c r="J516" s="340"/>
      <c r="K516" s="341"/>
      <c r="L516" s="340">
        <f>C516+E516+H516</f>
        <v>2019.17</v>
      </c>
      <c r="M516" s="340">
        <f>D516+F516+I516</f>
        <v>24230.04</v>
      </c>
      <c r="N516" s="342">
        <f t="shared" si="181"/>
        <v>1662.26</v>
      </c>
      <c r="O516" s="340">
        <f t="shared" si="182"/>
        <v>286.70000000000005</v>
      </c>
      <c r="P516" s="340">
        <f t="shared" si="183"/>
        <v>1948.96</v>
      </c>
      <c r="Q516" s="340"/>
      <c r="R516" s="340">
        <f>H516</f>
        <v>70.209999999999994</v>
      </c>
      <c r="S516" s="341">
        <f t="shared" si="184"/>
        <v>2019.17</v>
      </c>
      <c r="T516" s="334">
        <f t="shared" si="185"/>
        <v>28268.38</v>
      </c>
      <c r="U516" s="334">
        <f t="shared" si="186"/>
        <v>9328.5654000000013</v>
      </c>
      <c r="V516" s="335">
        <f t="shared" si="187"/>
        <v>37596.945400000004</v>
      </c>
    </row>
    <row r="517" spans="1:22" s="51" customFormat="1" ht="12.75" customHeight="1" x14ac:dyDescent="0.25">
      <c r="A517" s="471"/>
      <c r="B517" s="336"/>
      <c r="C517" s="349"/>
      <c r="D517" s="334"/>
      <c r="E517" s="334"/>
      <c r="F517" s="337"/>
      <c r="G517" s="338"/>
      <c r="H517" s="339"/>
      <c r="I517" s="339"/>
      <c r="J517" s="340"/>
      <c r="K517" s="341"/>
      <c r="L517" s="340"/>
      <c r="M517" s="340"/>
      <c r="N517" s="342"/>
      <c r="O517" s="340"/>
      <c r="P517" s="340"/>
      <c r="Q517" s="340"/>
      <c r="R517" s="340"/>
      <c r="S517" s="341"/>
      <c r="T517" s="334"/>
      <c r="U517" s="334"/>
      <c r="V517" s="335"/>
    </row>
    <row r="518" spans="1:22" s="149" customFormat="1" ht="16.5" x14ac:dyDescent="0.25">
      <c r="A518" s="472" t="s">
        <v>20</v>
      </c>
      <c r="B518" s="344"/>
      <c r="C518" s="350">
        <f>SUM(C504:C516)</f>
        <v>11635.82</v>
      </c>
      <c r="D518" s="350">
        <f t="shared" ref="D518:F518" si="192">SUM(D504:D516)</f>
        <v>139629.84</v>
      </c>
      <c r="E518" s="350">
        <f t="shared" si="192"/>
        <v>928.5100000000001</v>
      </c>
      <c r="F518" s="351">
        <f t="shared" si="192"/>
        <v>11142.120000000003</v>
      </c>
      <c r="G518" s="346"/>
      <c r="H518" s="350">
        <f>SUM(H504:H516)</f>
        <v>491.46999999999991</v>
      </c>
      <c r="I518" s="350">
        <f>SUM(I504:I516)</f>
        <v>5897.6400000000012</v>
      </c>
      <c r="J518" s="347"/>
      <c r="K518" s="348"/>
      <c r="L518" s="350">
        <f>SUM(L504:L516)</f>
        <v>13055.8</v>
      </c>
      <c r="M518" s="350">
        <f t="shared" ref="M518:O518" si="193">SUM(M504:M516)</f>
        <v>156669.6</v>
      </c>
      <c r="N518" s="352">
        <f t="shared" si="193"/>
        <v>11635.82</v>
      </c>
      <c r="O518" s="350">
        <f t="shared" si="193"/>
        <v>928.5100000000001</v>
      </c>
      <c r="P518" s="347">
        <f t="shared" si="183"/>
        <v>12564.33</v>
      </c>
      <c r="Q518" s="347"/>
      <c r="R518" s="350">
        <f>SUM(R504:R516)</f>
        <v>491.46999999999991</v>
      </c>
      <c r="S518" s="348">
        <f>SUM(S504:S516)</f>
        <v>13055.8</v>
      </c>
      <c r="T518" s="279">
        <f t="shared" si="185"/>
        <v>182781.2</v>
      </c>
      <c r="U518" s="350">
        <f>SUM(U504:U516)</f>
        <v>60317.795999999995</v>
      </c>
      <c r="V518" s="351">
        <f>SUM(V504:V516)</f>
        <v>243098.99599999998</v>
      </c>
    </row>
    <row r="519" spans="1:22" s="51" customFormat="1" ht="12.75" customHeight="1" x14ac:dyDescent="0.25">
      <c r="A519" s="471"/>
      <c r="B519" s="336"/>
      <c r="C519" s="334"/>
      <c r="D519" s="334"/>
      <c r="E519" s="334"/>
      <c r="F519" s="337"/>
      <c r="G519" s="338"/>
      <c r="H519" s="339"/>
      <c r="I519" s="339"/>
      <c r="J519" s="340"/>
      <c r="K519" s="341"/>
      <c r="L519" s="340"/>
      <c r="M519" s="340"/>
      <c r="N519" s="342"/>
      <c r="O519" s="340"/>
      <c r="P519" s="340"/>
      <c r="Q519" s="340"/>
      <c r="R519" s="340"/>
      <c r="S519" s="341"/>
      <c r="T519" s="334"/>
      <c r="U519" s="334"/>
      <c r="V519" s="335"/>
    </row>
    <row r="520" spans="1:22" s="51" customFormat="1" ht="16.5" x14ac:dyDescent="0.25">
      <c r="A520" s="450" t="s">
        <v>274</v>
      </c>
      <c r="B520" s="336" t="s">
        <v>17</v>
      </c>
      <c r="C520" s="334">
        <f>'RETRIBUCIONES 2025'!$D$23</f>
        <v>1443.42</v>
      </c>
      <c r="D520" s="334">
        <f t="shared" si="178"/>
        <v>17321.04</v>
      </c>
      <c r="E520" s="334">
        <f>'RETRIBUCIONES 2025'!$E$23*5</f>
        <v>99.350000000000009</v>
      </c>
      <c r="F520" s="337">
        <f t="shared" si="179"/>
        <v>1192.2</v>
      </c>
      <c r="G520" s="338"/>
      <c r="H520" s="339">
        <f>'RETRIBUCIONES 2025'!$D$25</f>
        <v>70.209999999999994</v>
      </c>
      <c r="I520" s="339">
        <f t="shared" si="180"/>
        <v>842.52</v>
      </c>
      <c r="J520" s="340"/>
      <c r="K520" s="341"/>
      <c r="L520" s="340">
        <f>C520+E520+H520</f>
        <v>1612.98</v>
      </c>
      <c r="M520" s="340">
        <f>D520+F520+I520</f>
        <v>19355.760000000002</v>
      </c>
      <c r="N520" s="342">
        <f t="shared" si="181"/>
        <v>1443.42</v>
      </c>
      <c r="O520" s="340">
        <f t="shared" si="182"/>
        <v>99.350000000000009</v>
      </c>
      <c r="P520" s="340">
        <f t="shared" si="183"/>
        <v>1542.77</v>
      </c>
      <c r="Q520" s="340"/>
      <c r="R520" s="340">
        <f>H520</f>
        <v>70.209999999999994</v>
      </c>
      <c r="S520" s="341">
        <f t="shared" si="184"/>
        <v>1612.98</v>
      </c>
      <c r="T520" s="334">
        <f t="shared" si="185"/>
        <v>22581.72</v>
      </c>
      <c r="U520" s="334">
        <f t="shared" si="186"/>
        <v>7451.9676000000009</v>
      </c>
      <c r="V520" s="335">
        <f t="shared" si="187"/>
        <v>30033.687600000001</v>
      </c>
    </row>
    <row r="521" spans="1:22" s="51" customFormat="1" ht="12.75" customHeight="1" x14ac:dyDescent="0.25">
      <c r="A521" s="471"/>
      <c r="B521" s="336"/>
      <c r="C521" s="334"/>
      <c r="D521" s="334"/>
      <c r="E521" s="334"/>
      <c r="F521" s="337"/>
      <c r="G521" s="338"/>
      <c r="H521" s="339"/>
      <c r="I521" s="339"/>
      <c r="J521" s="340"/>
      <c r="K521" s="341"/>
      <c r="L521" s="340"/>
      <c r="M521" s="340"/>
      <c r="N521" s="342"/>
      <c r="O521" s="340"/>
      <c r="P521" s="340"/>
      <c r="Q521" s="340"/>
      <c r="R521" s="340"/>
      <c r="S521" s="341"/>
      <c r="T521" s="334"/>
      <c r="U521" s="334"/>
      <c r="V521" s="335"/>
    </row>
    <row r="522" spans="1:22" s="51" customFormat="1" ht="16.5" x14ac:dyDescent="0.25">
      <c r="A522" s="450" t="s">
        <v>274</v>
      </c>
      <c r="B522" s="336" t="s">
        <v>17</v>
      </c>
      <c r="C522" s="334">
        <f>'RETRIBUCIONES 2025'!$D$23</f>
        <v>1443.42</v>
      </c>
      <c r="D522" s="334">
        <f t="shared" si="178"/>
        <v>17321.04</v>
      </c>
      <c r="E522" s="334">
        <v>0</v>
      </c>
      <c r="F522" s="337">
        <f t="shared" si="179"/>
        <v>0</v>
      </c>
      <c r="G522" s="338"/>
      <c r="H522" s="339">
        <f>'RETRIBUCIONES 2025'!$D$25</f>
        <v>70.209999999999994</v>
      </c>
      <c r="I522" s="339">
        <f t="shared" si="180"/>
        <v>842.52</v>
      </c>
      <c r="J522" s="340"/>
      <c r="K522" s="341"/>
      <c r="L522" s="340">
        <f>C522+E522+H522</f>
        <v>1513.63</v>
      </c>
      <c r="M522" s="340">
        <f>D522+F522+I522</f>
        <v>18163.560000000001</v>
      </c>
      <c r="N522" s="342">
        <f t="shared" si="181"/>
        <v>1443.42</v>
      </c>
      <c r="O522" s="340">
        <f t="shared" si="182"/>
        <v>0</v>
      </c>
      <c r="P522" s="340">
        <f t="shared" si="183"/>
        <v>1443.42</v>
      </c>
      <c r="Q522" s="340"/>
      <c r="R522" s="340">
        <f>H522</f>
        <v>70.209999999999994</v>
      </c>
      <c r="S522" s="341">
        <f t="shared" si="184"/>
        <v>1513.63</v>
      </c>
      <c r="T522" s="334">
        <f t="shared" si="185"/>
        <v>21190.82</v>
      </c>
      <c r="U522" s="334">
        <f t="shared" si="186"/>
        <v>6992.9706000000006</v>
      </c>
      <c r="V522" s="335">
        <f t="shared" si="187"/>
        <v>28183.7906</v>
      </c>
    </row>
    <row r="523" spans="1:22" s="51" customFormat="1" ht="12.75" customHeight="1" x14ac:dyDescent="0.25">
      <c r="A523" s="471"/>
      <c r="B523" s="336"/>
      <c r="C523" s="334"/>
      <c r="D523" s="334"/>
      <c r="E523" s="334"/>
      <c r="F523" s="337"/>
      <c r="G523" s="338"/>
      <c r="H523" s="339"/>
      <c r="I523" s="339"/>
      <c r="J523" s="340"/>
      <c r="K523" s="341"/>
      <c r="L523" s="340"/>
      <c r="M523" s="340"/>
      <c r="N523" s="342"/>
      <c r="O523" s="340"/>
      <c r="P523" s="340"/>
      <c r="Q523" s="340"/>
      <c r="R523" s="340"/>
      <c r="S523" s="341"/>
      <c r="T523" s="334"/>
      <c r="U523" s="334"/>
      <c r="V523" s="335"/>
    </row>
    <row r="524" spans="1:22" s="149" customFormat="1" ht="16.5" x14ac:dyDescent="0.25">
      <c r="A524" s="472" t="s">
        <v>21</v>
      </c>
      <c r="B524" s="344"/>
      <c r="C524" s="279">
        <f>SUM(C520:C523)</f>
        <v>2886.84</v>
      </c>
      <c r="D524" s="279">
        <f t="shared" ref="D524:F524" si="194">SUM(D520:D523)</f>
        <v>34642.080000000002</v>
      </c>
      <c r="E524" s="279">
        <f t="shared" si="194"/>
        <v>99.350000000000009</v>
      </c>
      <c r="F524" s="345">
        <f t="shared" si="194"/>
        <v>1192.2</v>
      </c>
      <c r="G524" s="346"/>
      <c r="H524" s="279">
        <f>SUM(H520:H523)</f>
        <v>140.41999999999999</v>
      </c>
      <c r="I524" s="279">
        <f>SUM(I520:I523)</f>
        <v>1685.04</v>
      </c>
      <c r="J524" s="347"/>
      <c r="K524" s="348"/>
      <c r="L524" s="279">
        <f>SUM(L520:L523)</f>
        <v>3126.61</v>
      </c>
      <c r="M524" s="279">
        <f t="shared" ref="M524:O524" si="195">SUM(M520:M523)</f>
        <v>37519.320000000007</v>
      </c>
      <c r="N524" s="343">
        <f t="shared" si="195"/>
        <v>2886.84</v>
      </c>
      <c r="O524" s="279">
        <f t="shared" si="195"/>
        <v>99.350000000000009</v>
      </c>
      <c r="P524" s="347">
        <f t="shared" si="183"/>
        <v>2986.19</v>
      </c>
      <c r="Q524" s="347"/>
      <c r="R524" s="279">
        <f>SUM(R520:R523)</f>
        <v>140.41999999999999</v>
      </c>
      <c r="S524" s="348">
        <f>SUM(S520:S522)</f>
        <v>3126.61</v>
      </c>
      <c r="T524" s="279">
        <f t="shared" si="185"/>
        <v>43772.540000000008</v>
      </c>
      <c r="U524" s="279">
        <f>SUM(U520:U523)</f>
        <v>14444.938200000001</v>
      </c>
      <c r="V524" s="345">
        <f>SUM(V520:V523)</f>
        <v>58217.478199999998</v>
      </c>
    </row>
    <row r="525" spans="1:22" s="51" customFormat="1" ht="12.75" customHeight="1" x14ac:dyDescent="0.25">
      <c r="A525" s="472"/>
      <c r="B525" s="344"/>
      <c r="C525" s="279"/>
      <c r="D525" s="279"/>
      <c r="E525" s="279"/>
      <c r="F525" s="345"/>
      <c r="G525" s="338"/>
      <c r="H525" s="353"/>
      <c r="I525" s="353"/>
      <c r="J525" s="340"/>
      <c r="K525" s="341"/>
      <c r="L525" s="340"/>
      <c r="M525" s="279"/>
      <c r="N525" s="343"/>
      <c r="O525" s="340"/>
      <c r="P525" s="340"/>
      <c r="Q525" s="340"/>
      <c r="R525" s="340"/>
      <c r="S525" s="341"/>
      <c r="T525" s="334"/>
      <c r="U525" s="334"/>
      <c r="V525" s="335"/>
    </row>
    <row r="526" spans="1:22" s="51" customFormat="1" ht="17.25" thickBot="1" x14ac:dyDescent="0.3">
      <c r="A526" s="473" t="s">
        <v>88</v>
      </c>
      <c r="B526" s="355"/>
      <c r="C526" s="356">
        <f>C498+C518+C524+C502</f>
        <v>21865.050000000003</v>
      </c>
      <c r="D526" s="356">
        <f t="shared" ref="D526:V526" si="196">D498+D518+D524+D502</f>
        <v>262380.60000000003</v>
      </c>
      <c r="E526" s="356">
        <f t="shared" si="196"/>
        <v>1714.3700000000003</v>
      </c>
      <c r="F526" s="357">
        <f t="shared" si="196"/>
        <v>20572.440000000002</v>
      </c>
      <c r="G526" s="354"/>
      <c r="H526" s="356">
        <f t="shared" si="196"/>
        <v>1000.2399999999999</v>
      </c>
      <c r="I526" s="356">
        <f t="shared" si="196"/>
        <v>12002.880000000001</v>
      </c>
      <c r="J526" s="356"/>
      <c r="K526" s="357"/>
      <c r="L526" s="356">
        <f t="shared" si="196"/>
        <v>24579.66</v>
      </c>
      <c r="M526" s="356">
        <f t="shared" si="196"/>
        <v>294955.92000000004</v>
      </c>
      <c r="N526" s="358">
        <f t="shared" si="196"/>
        <v>21865.050000000003</v>
      </c>
      <c r="O526" s="358">
        <f t="shared" si="196"/>
        <v>1714.3700000000003</v>
      </c>
      <c r="P526" s="358">
        <f t="shared" si="196"/>
        <v>23579.42</v>
      </c>
      <c r="Q526" s="359"/>
      <c r="R526" s="360">
        <f>R498+R518+R524+R502</f>
        <v>1000.2399999999999</v>
      </c>
      <c r="S526" s="361">
        <f>S498+S518+S524+S502</f>
        <v>24579.66</v>
      </c>
      <c r="T526" s="356">
        <f t="shared" si="196"/>
        <v>344115.24000000005</v>
      </c>
      <c r="U526" s="356">
        <f t="shared" si="196"/>
        <v>113558.02919999999</v>
      </c>
      <c r="V526" s="357">
        <f t="shared" si="196"/>
        <v>457673.26919999998</v>
      </c>
    </row>
    <row r="527" spans="1:22" s="51" customFormat="1" ht="12.75" customHeight="1" thickBot="1" x14ac:dyDescent="0.3">
      <c r="A527" s="474"/>
      <c r="B527" s="362"/>
      <c r="C527" s="363"/>
      <c r="D527" s="363"/>
      <c r="E527" s="363"/>
      <c r="F527" s="364"/>
      <c r="G527" s="282"/>
      <c r="H527" s="365"/>
      <c r="I527" s="366"/>
      <c r="J527" s="330"/>
      <c r="K527" s="331"/>
      <c r="L527" s="363"/>
      <c r="M527" s="363"/>
      <c r="N527" s="363"/>
      <c r="O527" s="330"/>
      <c r="P527" s="330"/>
      <c r="Q527" s="330"/>
      <c r="R527" s="367"/>
      <c r="S527" s="367"/>
      <c r="T527" s="363"/>
      <c r="U527" s="367"/>
      <c r="V527" s="368"/>
    </row>
    <row r="528" spans="1:22" s="51" customFormat="1" ht="12.75" customHeight="1" x14ac:dyDescent="0.25">
      <c r="A528" s="454"/>
      <c r="B528" s="293"/>
      <c r="C528" s="166"/>
      <c r="D528" s="166"/>
      <c r="E528" s="166"/>
      <c r="F528" s="166"/>
      <c r="G528" s="164"/>
      <c r="H528" s="165"/>
      <c r="I528" s="166"/>
      <c r="J528" s="166"/>
      <c r="K528" s="166"/>
      <c r="L528" s="166"/>
      <c r="M528" s="285"/>
      <c r="N528" s="285"/>
      <c r="O528" s="294"/>
      <c r="P528" s="294"/>
      <c r="Q528" s="285"/>
      <c r="R528" s="285"/>
      <c r="S528" s="285"/>
      <c r="T528" s="285"/>
      <c r="U528" s="285"/>
      <c r="V528" s="281"/>
    </row>
    <row r="529" spans="1:22" s="51" customFormat="1" ht="12.75" customHeight="1" thickBot="1" x14ac:dyDescent="0.3">
      <c r="A529" s="454"/>
      <c r="B529" s="293"/>
      <c r="C529" s="166"/>
      <c r="D529" s="166"/>
      <c r="E529" s="166"/>
      <c r="F529" s="166"/>
      <c r="G529" s="164"/>
      <c r="H529" s="165"/>
      <c r="I529" s="166"/>
      <c r="J529" s="166"/>
      <c r="K529" s="166"/>
      <c r="L529" s="166"/>
      <c r="M529" s="285"/>
      <c r="N529" s="285"/>
      <c r="O529" s="294"/>
      <c r="P529" s="294"/>
      <c r="Q529" s="285"/>
      <c r="R529" s="285"/>
      <c r="S529" s="285"/>
      <c r="T529" s="285"/>
      <c r="U529" s="285"/>
      <c r="V529" s="281"/>
    </row>
    <row r="530" spans="1:22" s="51" customFormat="1" ht="25.5" customHeight="1" thickBot="1" x14ac:dyDescent="0.3">
      <c r="A530" s="485" t="s">
        <v>119</v>
      </c>
      <c r="B530" s="478"/>
      <c r="C530" s="479">
        <f t="shared" ref="C530:V530" si="197">C485+C306+C472+C462+C450+C440+C430+C409+C396+C366+C356+C345+C334+C324+C526</f>
        <v>44361.41</v>
      </c>
      <c r="D530" s="479">
        <f t="shared" si="197"/>
        <v>532336.92000000016</v>
      </c>
      <c r="E530" s="479">
        <f t="shared" si="197"/>
        <v>4867.51</v>
      </c>
      <c r="F530" s="479">
        <f t="shared" si="197"/>
        <v>58410.12</v>
      </c>
      <c r="G530" s="479"/>
      <c r="H530" s="479">
        <f t="shared" si="197"/>
        <v>13972.31</v>
      </c>
      <c r="I530" s="479">
        <f t="shared" si="197"/>
        <v>167667.72000000003</v>
      </c>
      <c r="J530" s="479">
        <f t="shared" si="197"/>
        <v>17721.170000000002</v>
      </c>
      <c r="K530" s="479">
        <f t="shared" si="197"/>
        <v>212654.04000000004</v>
      </c>
      <c r="L530" s="479">
        <f t="shared" si="197"/>
        <v>80922.400000000009</v>
      </c>
      <c r="M530" s="479">
        <f t="shared" si="197"/>
        <v>971068.8</v>
      </c>
      <c r="N530" s="479">
        <f t="shared" si="197"/>
        <v>41624.569999999992</v>
      </c>
      <c r="O530" s="479">
        <f t="shared" si="197"/>
        <v>4272.79</v>
      </c>
      <c r="P530" s="479">
        <f t="shared" si="197"/>
        <v>45897.359999999993</v>
      </c>
      <c r="Q530" s="479">
        <f t="shared" si="197"/>
        <v>12972.07</v>
      </c>
      <c r="R530" s="479">
        <f t="shared" si="197"/>
        <v>18721.410000000003</v>
      </c>
      <c r="S530" s="479">
        <f t="shared" si="197"/>
        <v>77590.84</v>
      </c>
      <c r="T530" s="479">
        <f t="shared" si="197"/>
        <v>1126250.48</v>
      </c>
      <c r="U530" s="479">
        <f t="shared" si="197"/>
        <v>371662.65839999996</v>
      </c>
      <c r="V530" s="480">
        <f t="shared" si="197"/>
        <v>1497913.1383999998</v>
      </c>
    </row>
    <row r="531" spans="1:22" s="51" customFormat="1" ht="18" customHeight="1" x14ac:dyDescent="0.25">
      <c r="A531" s="453"/>
      <c r="B531" s="369"/>
      <c r="C531" s="370"/>
      <c r="D531" s="370"/>
      <c r="E531" s="370"/>
      <c r="F531" s="370"/>
      <c r="G531" s="370"/>
      <c r="H531" s="370"/>
      <c r="I531" s="370"/>
      <c r="J531" s="370"/>
      <c r="K531" s="370"/>
      <c r="L531" s="370"/>
      <c r="M531" s="370"/>
      <c r="N531" s="370"/>
      <c r="O531" s="370"/>
      <c r="P531" s="370"/>
      <c r="Q531" s="370"/>
      <c r="R531" s="370"/>
      <c r="S531" s="370"/>
      <c r="T531" s="370"/>
      <c r="U531" s="370"/>
      <c r="V531" s="371"/>
    </row>
    <row r="532" spans="1:22" s="1" customFormat="1" ht="16.5" x14ac:dyDescent="0.25">
      <c r="A532" s="454"/>
      <c r="B532" s="293"/>
      <c r="C532" s="166"/>
      <c r="D532" s="166"/>
      <c r="E532" s="166"/>
      <c r="F532" s="166"/>
      <c r="G532" s="166"/>
      <c r="H532" s="285"/>
      <c r="I532" s="285"/>
      <c r="J532" s="294"/>
      <c r="K532" s="294"/>
      <c r="L532" s="294"/>
      <c r="M532" s="285"/>
      <c r="N532" s="285"/>
      <c r="O532" s="285"/>
      <c r="P532" s="285"/>
      <c r="Q532" s="285"/>
      <c r="R532" s="285"/>
      <c r="S532" s="280"/>
      <c r="T532" s="285"/>
      <c r="U532" s="285"/>
      <c r="V532" s="281"/>
    </row>
    <row r="533" spans="1:22" s="1" customFormat="1" ht="16.5" x14ac:dyDescent="0.25">
      <c r="A533" s="454"/>
      <c r="B533" s="285"/>
      <c r="C533" s="285"/>
      <c r="D533" s="285"/>
      <c r="E533" s="285"/>
      <c r="F533" s="285"/>
      <c r="G533" s="285"/>
      <c r="H533" s="285"/>
      <c r="I533" s="285"/>
      <c r="J533" s="285"/>
      <c r="K533" s="285"/>
      <c r="L533" s="285"/>
      <c r="M533" s="285"/>
      <c r="N533" s="285"/>
      <c r="O533" s="285"/>
      <c r="P533" s="285"/>
      <c r="Q533" s="285"/>
      <c r="R533" s="285"/>
      <c r="S533" s="280"/>
      <c r="T533" s="285"/>
      <c r="U533" s="285"/>
      <c r="V533" s="281"/>
    </row>
    <row r="534" spans="1:22" s="1" customFormat="1" ht="16.5" x14ac:dyDescent="0.25">
      <c r="A534" s="475" t="s">
        <v>275</v>
      </c>
      <c r="B534" s="372"/>
      <c r="C534" s="372"/>
      <c r="D534" s="372"/>
      <c r="E534" s="372"/>
      <c r="F534" s="372"/>
      <c r="G534" s="372"/>
      <c r="H534" s="372"/>
      <c r="I534" s="372"/>
      <c r="J534" s="372"/>
      <c r="K534" s="372"/>
      <c r="L534" s="372"/>
      <c r="M534" s="372"/>
      <c r="N534" s="372"/>
      <c r="O534" s="372"/>
      <c r="P534" s="372"/>
      <c r="Q534" s="372"/>
      <c r="R534" s="372"/>
      <c r="S534" s="373"/>
      <c r="T534" s="372"/>
      <c r="U534" s="372"/>
      <c r="V534" s="374"/>
    </row>
    <row r="535" spans="1:22" s="1" customFormat="1" ht="17.25" thickBot="1" x14ac:dyDescent="0.3">
      <c r="A535" s="454"/>
      <c r="B535" s="285"/>
      <c r="C535" s="285"/>
      <c r="D535" s="285"/>
      <c r="E535" s="285"/>
      <c r="F535" s="285"/>
      <c r="G535" s="285"/>
      <c r="H535" s="285"/>
      <c r="I535" s="285"/>
      <c r="J535" s="285"/>
      <c r="K535" s="285"/>
      <c r="L535" s="285"/>
      <c r="M535" s="285"/>
      <c r="N535" s="285"/>
      <c r="O535" s="285"/>
      <c r="P535" s="285"/>
      <c r="Q535" s="285"/>
      <c r="R535" s="285"/>
      <c r="S535" s="280"/>
      <c r="T535" s="285"/>
      <c r="U535" s="285"/>
      <c r="V535" s="281"/>
    </row>
    <row r="536" spans="1:22" s="1" customFormat="1" ht="17.25" thickBot="1" x14ac:dyDescent="0.3">
      <c r="A536" s="595" t="s">
        <v>276</v>
      </c>
      <c r="B536" s="596"/>
      <c r="C536" s="596"/>
      <c r="D536" s="596"/>
      <c r="E536" s="596"/>
      <c r="F536" s="596"/>
      <c r="G536" s="596"/>
      <c r="H536" s="596"/>
      <c r="I536" s="596"/>
      <c r="J536" s="596"/>
      <c r="K536" s="596"/>
      <c r="L536" s="596"/>
      <c r="M536" s="596"/>
      <c r="N536" s="596"/>
      <c r="O536" s="596"/>
      <c r="P536" s="596"/>
      <c r="Q536" s="596"/>
      <c r="R536" s="596"/>
      <c r="S536" s="596"/>
      <c r="T536" s="596"/>
      <c r="U536" s="596"/>
      <c r="V536" s="597"/>
    </row>
    <row r="537" spans="1:22" s="1" customFormat="1" ht="15" customHeight="1" x14ac:dyDescent="0.25">
      <c r="A537" s="470"/>
      <c r="B537" s="514" t="s">
        <v>123</v>
      </c>
      <c r="C537" s="515"/>
      <c r="D537" s="515"/>
      <c r="E537" s="515"/>
      <c r="F537" s="516"/>
      <c r="G537" s="532" t="s">
        <v>124</v>
      </c>
      <c r="H537" s="532"/>
      <c r="I537" s="532"/>
      <c r="J537" s="532"/>
      <c r="K537" s="532"/>
      <c r="L537" s="517" t="s">
        <v>132</v>
      </c>
      <c r="M537" s="517" t="s">
        <v>133</v>
      </c>
      <c r="N537" s="514" t="s">
        <v>2</v>
      </c>
      <c r="O537" s="515"/>
      <c r="P537" s="515"/>
      <c r="Q537" s="515"/>
      <c r="R537" s="515"/>
      <c r="S537" s="516"/>
      <c r="T537" s="295"/>
      <c r="U537" s="327"/>
      <c r="V537" s="328"/>
    </row>
    <row r="538" spans="1:22" s="1" customFormat="1" ht="33.75" thickBot="1" x14ac:dyDescent="0.25">
      <c r="A538" s="212"/>
      <c r="B538" s="268" t="s">
        <v>6</v>
      </c>
      <c r="C538" s="173" t="s">
        <v>144</v>
      </c>
      <c r="D538" s="173" t="s">
        <v>139</v>
      </c>
      <c r="E538" s="173" t="s">
        <v>145</v>
      </c>
      <c r="F538" s="174" t="s">
        <v>140</v>
      </c>
      <c r="G538" s="200" t="s">
        <v>9</v>
      </c>
      <c r="H538" s="173" t="s">
        <v>136</v>
      </c>
      <c r="I538" s="173" t="s">
        <v>135</v>
      </c>
      <c r="J538" s="173" t="s">
        <v>134</v>
      </c>
      <c r="K538" s="173" t="s">
        <v>137</v>
      </c>
      <c r="L538" s="518"/>
      <c r="M538" s="518"/>
      <c r="N538" s="268" t="s">
        <v>10</v>
      </c>
      <c r="O538" s="173" t="s">
        <v>11</v>
      </c>
      <c r="P538" s="173" t="s">
        <v>120</v>
      </c>
      <c r="Q538" s="330"/>
      <c r="R538" s="173" t="s">
        <v>219</v>
      </c>
      <c r="S538" s="174" t="s">
        <v>116</v>
      </c>
      <c r="T538" s="283" t="s">
        <v>141</v>
      </c>
      <c r="U538" s="173" t="s">
        <v>143</v>
      </c>
      <c r="V538" s="174" t="s">
        <v>142</v>
      </c>
    </row>
    <row r="539" spans="1:22" s="1" customFormat="1" ht="16.5" x14ac:dyDescent="0.25">
      <c r="A539" s="213"/>
      <c r="B539" s="269"/>
      <c r="C539" s="214"/>
      <c r="D539" s="214"/>
      <c r="E539" s="214"/>
      <c r="F539" s="215"/>
      <c r="G539" s="269"/>
      <c r="H539" s="332"/>
      <c r="I539" s="332"/>
      <c r="J539" s="214"/>
      <c r="K539" s="215"/>
      <c r="L539" s="214"/>
      <c r="M539" s="214"/>
      <c r="N539" s="269"/>
      <c r="O539" s="214"/>
      <c r="P539" s="214"/>
      <c r="Q539" s="214"/>
      <c r="R539" s="214"/>
      <c r="S539" s="215"/>
      <c r="T539" s="333"/>
      <c r="U539" s="334"/>
      <c r="V539" s="335"/>
    </row>
    <row r="540" spans="1:22" s="1" customFormat="1" ht="16.5" x14ac:dyDescent="0.25">
      <c r="A540" s="450" t="s">
        <v>277</v>
      </c>
      <c r="B540" s="336" t="s">
        <v>17</v>
      </c>
      <c r="C540" s="334">
        <f>'RETRIBUCIONES 2025'!$D$23</f>
        <v>1443.42</v>
      </c>
      <c r="D540" s="334">
        <f>C540*12</f>
        <v>17321.04</v>
      </c>
      <c r="E540" s="334">
        <v>0</v>
      </c>
      <c r="F540" s="337">
        <f>E540*12</f>
        <v>0</v>
      </c>
      <c r="G540" s="375">
        <v>18</v>
      </c>
      <c r="H540" s="339">
        <f>'RETRIBUCIONES 2025'!K14</f>
        <v>472.37</v>
      </c>
      <c r="I540" s="339">
        <f>H540*12</f>
        <v>5668.4400000000005</v>
      </c>
      <c r="J540" s="340">
        <v>610.35</v>
      </c>
      <c r="K540" s="341">
        <f>J540*12</f>
        <v>7324.2000000000007</v>
      </c>
      <c r="L540" s="340">
        <f>C540+E540+H540+J540</f>
        <v>2526.14</v>
      </c>
      <c r="M540" s="340">
        <f>D540+F540+I540+K540</f>
        <v>30313.680000000004</v>
      </c>
      <c r="N540" s="342">
        <f>C540</f>
        <v>1443.42</v>
      </c>
      <c r="O540" s="340">
        <f>E540</f>
        <v>0</v>
      </c>
      <c r="P540" s="340">
        <f>SUM(N540:O540)</f>
        <v>1443.42</v>
      </c>
      <c r="Q540" s="340"/>
      <c r="R540" s="340">
        <f>H540</f>
        <v>472.37</v>
      </c>
      <c r="S540" s="341">
        <f>P540+R540</f>
        <v>1915.79</v>
      </c>
      <c r="T540" s="334">
        <f>M540+S540*2</f>
        <v>34145.26</v>
      </c>
      <c r="U540" s="334">
        <f>T540*0.33</f>
        <v>11267.935800000001</v>
      </c>
      <c r="V540" s="335">
        <f>SUM(T540:U540)</f>
        <v>45413.195800000001</v>
      </c>
    </row>
    <row r="541" spans="1:22" s="4" customFormat="1" ht="15.6" customHeight="1" x14ac:dyDescent="0.25">
      <c r="A541" s="471"/>
      <c r="B541" s="336"/>
      <c r="C541" s="334"/>
      <c r="D541" s="334"/>
      <c r="E541" s="334"/>
      <c r="F541" s="337"/>
      <c r="G541" s="375"/>
      <c r="H541" s="339"/>
      <c r="I541" s="339"/>
      <c r="J541" s="340"/>
      <c r="K541" s="341"/>
      <c r="L541" s="340"/>
      <c r="M541" s="340"/>
      <c r="N541" s="342"/>
      <c r="O541" s="340"/>
      <c r="P541" s="340"/>
      <c r="Q541" s="340"/>
      <c r="R541" s="340"/>
      <c r="S541" s="341"/>
      <c r="T541" s="334"/>
      <c r="U541" s="334"/>
      <c r="V541" s="335"/>
    </row>
    <row r="542" spans="1:22" s="4" customFormat="1" ht="15.6" customHeight="1" x14ac:dyDescent="0.25">
      <c r="A542" s="450" t="s">
        <v>278</v>
      </c>
      <c r="B542" s="336" t="s">
        <v>17</v>
      </c>
      <c r="C542" s="334">
        <f>'RETRIBUCIONES 2025'!$D$23</f>
        <v>1443.42</v>
      </c>
      <c r="D542" s="334">
        <f t="shared" ref="D542" si="198">C542*12</f>
        <v>17321.04</v>
      </c>
      <c r="E542" s="340">
        <v>0</v>
      </c>
      <c r="F542" s="337">
        <f t="shared" ref="F542" si="199">E542*12</f>
        <v>0</v>
      </c>
      <c r="G542" s="375">
        <v>18</v>
      </c>
      <c r="H542" s="339">
        <f>'RETRIBUCIONES 2025'!K14</f>
        <v>472.37</v>
      </c>
      <c r="I542" s="339">
        <f t="shared" ref="I542" si="200">H542*12</f>
        <v>5668.4400000000005</v>
      </c>
      <c r="J542" s="340">
        <v>610.35</v>
      </c>
      <c r="K542" s="341">
        <f>J542*12</f>
        <v>7324.2000000000007</v>
      </c>
      <c r="L542" s="340">
        <f>C542+E542+H542+J542</f>
        <v>2526.14</v>
      </c>
      <c r="M542" s="340">
        <f>D542+F542+I542+K542</f>
        <v>30313.680000000004</v>
      </c>
      <c r="N542" s="342">
        <f t="shared" ref="N542" si="201">C542</f>
        <v>1443.42</v>
      </c>
      <c r="O542" s="340">
        <f t="shared" ref="O542" si="202">E542</f>
        <v>0</v>
      </c>
      <c r="P542" s="340">
        <f t="shared" ref="P542" si="203">SUM(N542:O542)</f>
        <v>1443.42</v>
      </c>
      <c r="Q542" s="340"/>
      <c r="R542" s="340">
        <f>H542</f>
        <v>472.37</v>
      </c>
      <c r="S542" s="341">
        <f t="shared" ref="S542" si="204">P542+R542</f>
        <v>1915.79</v>
      </c>
      <c r="T542" s="334">
        <f t="shared" ref="T542" si="205">M542+S542*2</f>
        <v>34145.26</v>
      </c>
      <c r="U542" s="334">
        <f t="shared" ref="U542" si="206">T542*0.33</f>
        <v>11267.935800000001</v>
      </c>
      <c r="V542" s="335">
        <f t="shared" ref="V542" si="207">SUM(T542:U542)</f>
        <v>45413.195800000001</v>
      </c>
    </row>
    <row r="543" spans="1:22" s="4" customFormat="1" ht="18.600000000000001" customHeight="1" thickBot="1" x14ac:dyDescent="0.3">
      <c r="A543" s="471"/>
      <c r="B543" s="336"/>
      <c r="C543" s="334"/>
      <c r="D543" s="334"/>
      <c r="E543" s="334"/>
      <c r="F543" s="337"/>
      <c r="G543" s="338"/>
      <c r="H543" s="339"/>
      <c r="I543" s="339"/>
      <c r="J543" s="340"/>
      <c r="K543" s="341"/>
      <c r="L543" s="340"/>
      <c r="M543" s="340"/>
      <c r="N543" s="342"/>
      <c r="O543" s="340"/>
      <c r="P543" s="340"/>
      <c r="Q543" s="340"/>
      <c r="R543" s="340"/>
      <c r="S543" s="341"/>
      <c r="T543" s="334"/>
      <c r="U543" s="334"/>
      <c r="V543" s="335"/>
    </row>
    <row r="544" spans="1:22" s="4" customFormat="1" ht="19.5" thickBot="1" x14ac:dyDescent="0.35">
      <c r="A544" s="490" t="s">
        <v>279</v>
      </c>
      <c r="B544" s="491"/>
      <c r="C544" s="492">
        <f>SUM(C540:C542)</f>
        <v>2886.84</v>
      </c>
      <c r="D544" s="492">
        <f t="shared" ref="D544:F544" si="208">SUM(D540:D542)</f>
        <v>34642.080000000002</v>
      </c>
      <c r="E544" s="492">
        <f t="shared" si="208"/>
        <v>0</v>
      </c>
      <c r="F544" s="493">
        <f t="shared" si="208"/>
        <v>0</v>
      </c>
      <c r="G544" s="494"/>
      <c r="H544" s="492">
        <f>SUM(H540:H542)</f>
        <v>944.74</v>
      </c>
      <c r="I544" s="492">
        <f>SUM(I540:I542)</f>
        <v>11336.880000000001</v>
      </c>
      <c r="J544" s="495">
        <f>SUM(J540:J542)</f>
        <v>1220.7</v>
      </c>
      <c r="K544" s="495">
        <f>SUM(K540:K542)</f>
        <v>14648.400000000001</v>
      </c>
      <c r="L544" s="492">
        <f>SUM(L540:L542)</f>
        <v>5052.28</v>
      </c>
      <c r="M544" s="492">
        <f t="shared" ref="M544:O544" si="209">SUM(M540:M542)</f>
        <v>60627.360000000008</v>
      </c>
      <c r="N544" s="496">
        <f t="shared" si="209"/>
        <v>2886.84</v>
      </c>
      <c r="O544" s="492">
        <f t="shared" si="209"/>
        <v>0</v>
      </c>
      <c r="P544" s="495">
        <f t="shared" ref="P544" si="210">SUM(N544:O544)</f>
        <v>2886.84</v>
      </c>
      <c r="Q544" s="495"/>
      <c r="R544" s="492">
        <f>SUM(R540:R542)</f>
        <v>944.74</v>
      </c>
      <c r="S544" s="497">
        <f>SUM(S540:S542)</f>
        <v>3831.58</v>
      </c>
      <c r="T544" s="492">
        <f t="shared" ref="T544" si="211">M544+S544*2</f>
        <v>68290.52</v>
      </c>
      <c r="U544" s="492">
        <f>SUM(U540:U542)</f>
        <v>22535.871600000002</v>
      </c>
      <c r="V544" s="493">
        <f>SUM(V540:V542)</f>
        <v>90826.391600000003</v>
      </c>
    </row>
    <row r="545" spans="1:24" s="4" customFormat="1" ht="16.5" x14ac:dyDescent="0.25">
      <c r="A545" s="472"/>
      <c r="B545" s="376"/>
      <c r="C545" s="279"/>
      <c r="D545" s="279"/>
      <c r="E545" s="279"/>
      <c r="F545" s="279"/>
      <c r="G545" s="347"/>
      <c r="H545" s="279"/>
      <c r="I545" s="279"/>
      <c r="J545" s="347"/>
      <c r="K545" s="347"/>
      <c r="L545" s="279"/>
      <c r="M545" s="279"/>
      <c r="N545" s="279"/>
      <c r="O545" s="279"/>
      <c r="P545" s="347"/>
      <c r="Q545" s="347"/>
      <c r="R545" s="279"/>
      <c r="S545" s="347"/>
      <c r="T545" s="279"/>
      <c r="U545" s="279"/>
      <c r="V545" s="345"/>
    </row>
    <row r="546" spans="1:24" s="4" customFormat="1" ht="16.5" x14ac:dyDescent="0.25">
      <c r="A546" s="472"/>
      <c r="B546" s="376"/>
      <c r="C546" s="279"/>
      <c r="D546" s="279"/>
      <c r="E546" s="279"/>
      <c r="F546" s="279"/>
      <c r="G546" s="347"/>
      <c r="H546" s="279"/>
      <c r="I546" s="279"/>
      <c r="J546" s="347"/>
      <c r="K546" s="347"/>
      <c r="L546" s="279"/>
      <c r="M546" s="279"/>
      <c r="N546" s="279"/>
      <c r="O546" s="279"/>
      <c r="P546" s="347"/>
      <c r="Q546" s="347"/>
      <c r="R546" s="279"/>
      <c r="S546" s="347"/>
      <c r="T546" s="279"/>
      <c r="U546" s="279"/>
      <c r="V546" s="345"/>
    </row>
    <row r="547" spans="1:24" s="4" customFormat="1" ht="17.25" thickBot="1" x14ac:dyDescent="0.3">
      <c r="A547" s="472"/>
      <c r="B547" s="376"/>
      <c r="C547" s="279"/>
      <c r="D547" s="279"/>
      <c r="E547" s="279"/>
      <c r="F547" s="279"/>
      <c r="G547" s="347"/>
      <c r="H547" s="279"/>
      <c r="I547" s="279"/>
      <c r="J547" s="347"/>
      <c r="K547" s="347"/>
      <c r="L547" s="279"/>
      <c r="M547" s="279"/>
      <c r="N547" s="279"/>
      <c r="O547" s="279"/>
      <c r="P547" s="347"/>
      <c r="Q547" s="347"/>
      <c r="R547" s="279"/>
      <c r="S547" s="347"/>
      <c r="T547" s="279"/>
      <c r="U547" s="279"/>
      <c r="V547" s="345"/>
    </row>
    <row r="548" spans="1:24" s="4" customFormat="1" ht="19.5" thickBot="1" x14ac:dyDescent="0.35">
      <c r="A548" s="486" t="s">
        <v>281</v>
      </c>
      <c r="B548" s="487"/>
      <c r="C548" s="488">
        <f>C544+C530+C310</f>
        <v>118990.43499999998</v>
      </c>
      <c r="D548" s="488">
        <f>D544+D530+D310</f>
        <v>1427885.2200000002</v>
      </c>
      <c r="E548" s="488">
        <f>E544+E530+E310</f>
        <v>14213.230000000003</v>
      </c>
      <c r="F548" s="488">
        <f>F544+F530+F310</f>
        <v>170558.76</v>
      </c>
      <c r="G548" s="488"/>
      <c r="H548" s="488">
        <f t="shared" ref="H548:V548" si="212">H544+H530+H310</f>
        <v>57505.774999999994</v>
      </c>
      <c r="I548" s="488">
        <f t="shared" si="212"/>
        <v>690069.29999999993</v>
      </c>
      <c r="J548" s="488">
        <f t="shared" si="212"/>
        <v>66179.259999999995</v>
      </c>
      <c r="K548" s="488">
        <f t="shared" si="212"/>
        <v>794151.12000000011</v>
      </c>
      <c r="L548" s="488">
        <f t="shared" si="212"/>
        <v>256888.7</v>
      </c>
      <c r="M548" s="488">
        <f t="shared" si="212"/>
        <v>3082664.4</v>
      </c>
      <c r="N548" s="488">
        <f t="shared" si="212"/>
        <v>101987.64999999998</v>
      </c>
      <c r="O548" s="488">
        <f t="shared" si="212"/>
        <v>11697.09</v>
      </c>
      <c r="P548" s="488">
        <f t="shared" si="212"/>
        <v>113715.10999999999</v>
      </c>
      <c r="Q548" s="488">
        <f t="shared" si="212"/>
        <v>54950.794999999998</v>
      </c>
      <c r="R548" s="488">
        <f t="shared" si="212"/>
        <v>66903.539999999994</v>
      </c>
      <c r="S548" s="488">
        <f t="shared" si="212"/>
        <v>233684.63500000001</v>
      </c>
      <c r="T548" s="488">
        <f t="shared" si="212"/>
        <v>3542734.33</v>
      </c>
      <c r="U548" s="488">
        <f t="shared" si="212"/>
        <v>1169102.3288999998</v>
      </c>
      <c r="V548" s="489">
        <f t="shared" si="212"/>
        <v>4711836.6589000002</v>
      </c>
    </row>
    <row r="549" spans="1:24" s="4" customFormat="1" ht="15" x14ac:dyDescent="0.2">
      <c r="A549" s="476"/>
      <c r="B549" s="152"/>
      <c r="C549" s="161"/>
      <c r="D549" s="161"/>
      <c r="E549" s="161"/>
      <c r="F549" s="161"/>
      <c r="G549" s="160"/>
      <c r="H549" s="161"/>
      <c r="I549" s="161"/>
      <c r="J549" s="160"/>
      <c r="K549" s="160"/>
      <c r="L549" s="161"/>
      <c r="M549" s="161"/>
      <c r="N549" s="161"/>
      <c r="O549" s="161"/>
      <c r="P549" s="160"/>
      <c r="Q549" s="160"/>
      <c r="R549" s="161"/>
      <c r="S549" s="160"/>
      <c r="T549" s="161"/>
      <c r="U549" s="161"/>
      <c r="V549" s="161"/>
    </row>
    <row r="550" spans="1:24" s="4" customFormat="1" ht="15" x14ac:dyDescent="0.2">
      <c r="A550" s="476"/>
      <c r="B550" s="152"/>
      <c r="C550" s="161"/>
      <c r="D550" s="161"/>
      <c r="E550" s="161"/>
      <c r="F550" s="161"/>
      <c r="G550" s="160"/>
      <c r="H550" s="161"/>
      <c r="I550" s="161"/>
      <c r="J550" s="160"/>
      <c r="K550" s="160"/>
      <c r="L550" s="161"/>
      <c r="M550" s="161"/>
      <c r="N550" s="161"/>
      <c r="O550" s="161"/>
      <c r="P550" s="160"/>
      <c r="Q550" s="160"/>
      <c r="R550" s="161"/>
      <c r="S550" s="160"/>
      <c r="T550" s="161"/>
      <c r="U550" s="161"/>
      <c r="V550" s="161"/>
    </row>
    <row r="551" spans="1:24" s="4" customFormat="1" ht="15.6" customHeight="1" x14ac:dyDescent="0.25">
      <c r="N551" s="71"/>
      <c r="O551" s="71"/>
      <c r="P551" s="71"/>
      <c r="Q551" s="71"/>
      <c r="R551" s="71"/>
      <c r="S551" s="88"/>
    </row>
    <row r="552" spans="1:24" s="1" customFormat="1" x14ac:dyDescent="0.25">
      <c r="N552" s="71"/>
      <c r="O552" s="71"/>
      <c r="P552" s="71"/>
      <c r="Q552" s="71"/>
      <c r="R552" s="71"/>
      <c r="S552" s="88"/>
    </row>
    <row r="553" spans="1:24" s="1" customFormat="1" ht="13.5" customHeight="1" x14ac:dyDescent="0.25">
      <c r="A553" s="154" t="s">
        <v>280</v>
      </c>
      <c r="B553" s="154"/>
      <c r="C553" s="154"/>
      <c r="D553" s="154"/>
      <c r="E553" s="154"/>
      <c r="F553" s="154"/>
      <c r="G553" s="154"/>
      <c r="H553" s="154"/>
      <c r="I553" s="154"/>
      <c r="J553" s="154"/>
      <c r="K553" s="154"/>
      <c r="L553" s="154"/>
      <c r="M553" s="154"/>
      <c r="N553" s="155"/>
      <c r="O553" s="155"/>
      <c r="P553" s="155"/>
      <c r="Q553" s="155"/>
      <c r="R553" s="155"/>
      <c r="S553" s="156"/>
      <c r="T553" s="154"/>
      <c r="U553" s="154"/>
      <c r="V553" s="154"/>
    </row>
    <row r="554" spans="1:24" s="1" customFormat="1" x14ac:dyDescent="0.25">
      <c r="N554" s="71"/>
      <c r="O554" s="71"/>
      <c r="P554" s="71"/>
      <c r="Q554" s="71"/>
      <c r="R554" s="71"/>
      <c r="S554" s="88"/>
    </row>
    <row r="555" spans="1:24" s="4" customFormat="1" ht="14.25" customHeight="1" thickBot="1" x14ac:dyDescent="0.3">
      <c r="N555" s="71"/>
      <c r="O555" s="71"/>
      <c r="P555" s="71"/>
      <c r="Q555" s="71"/>
      <c r="R555" s="71"/>
      <c r="S555" s="88"/>
    </row>
    <row r="556" spans="1:24" s="52" customFormat="1" ht="30" customHeight="1" x14ac:dyDescent="0.2">
      <c r="A556" s="567" t="s">
        <v>107</v>
      </c>
      <c r="B556" s="568"/>
      <c r="C556" s="568"/>
      <c r="D556" s="568"/>
      <c r="E556" s="568"/>
      <c r="F556" s="568"/>
      <c r="G556" s="568"/>
      <c r="H556" s="568"/>
      <c r="I556" s="568"/>
      <c r="J556" s="568"/>
      <c r="K556" s="568"/>
      <c r="L556" s="568"/>
      <c r="M556" s="568"/>
      <c r="N556" s="568"/>
      <c r="O556" s="568"/>
      <c r="P556" s="568"/>
      <c r="Q556" s="568"/>
      <c r="R556" s="568"/>
      <c r="S556" s="568"/>
      <c r="T556" s="568"/>
      <c r="U556" s="568"/>
      <c r="V556" s="569"/>
    </row>
    <row r="557" spans="1:24" s="1" customFormat="1" ht="16.5" thickBot="1" x14ac:dyDescent="0.25">
      <c r="A557" s="570">
        <v>912</v>
      </c>
      <c r="B557" s="571"/>
      <c r="C557" s="571"/>
      <c r="D557" s="571"/>
      <c r="E557" s="571"/>
      <c r="F557" s="571"/>
      <c r="G557" s="571"/>
      <c r="H557" s="571"/>
      <c r="I557" s="571"/>
      <c r="J557" s="571"/>
      <c r="K557" s="571"/>
      <c r="L557" s="571"/>
      <c r="M557" s="571"/>
      <c r="N557" s="571"/>
      <c r="O557" s="571"/>
      <c r="P557" s="571"/>
      <c r="Q557" s="571"/>
      <c r="R557" s="571"/>
      <c r="S557" s="571"/>
      <c r="T557" s="571"/>
      <c r="U557" s="571"/>
      <c r="V557" s="572"/>
    </row>
    <row r="558" spans="1:24" s="1" customFormat="1" x14ac:dyDescent="0.25">
      <c r="A558" s="121"/>
      <c r="B558" s="94"/>
      <c r="C558" s="96"/>
      <c r="D558" s="96" t="s">
        <v>117</v>
      </c>
      <c r="E558" s="96"/>
      <c r="F558" s="97">
        <v>12006</v>
      </c>
      <c r="G558" s="96"/>
      <c r="H558" s="96">
        <v>12100</v>
      </c>
      <c r="I558" s="96">
        <v>12100</v>
      </c>
      <c r="J558" s="96">
        <v>12101</v>
      </c>
      <c r="K558" s="96">
        <v>12101</v>
      </c>
      <c r="L558" s="128"/>
      <c r="M558" s="115"/>
      <c r="N558" s="95"/>
      <c r="O558" s="95"/>
      <c r="P558" s="95">
        <v>120</v>
      </c>
      <c r="Q558" s="96">
        <v>12100</v>
      </c>
      <c r="R558" s="96">
        <v>12101</v>
      </c>
      <c r="S558" s="96"/>
      <c r="T558" s="93"/>
      <c r="U558" s="124"/>
      <c r="V558" s="132"/>
    </row>
    <row r="559" spans="1:24" s="1" customFormat="1" ht="13.5" customHeight="1" x14ac:dyDescent="0.25">
      <c r="A559" s="103"/>
      <c r="B559" s="560" t="s">
        <v>123</v>
      </c>
      <c r="C559" s="561"/>
      <c r="D559" s="561"/>
      <c r="E559" s="561"/>
      <c r="F559" s="562"/>
      <c r="G559" s="563" t="s">
        <v>124</v>
      </c>
      <c r="H559" s="563"/>
      <c r="I559" s="563"/>
      <c r="J559" s="563"/>
      <c r="K559" s="563"/>
      <c r="L559" s="555" t="s">
        <v>132</v>
      </c>
      <c r="M559" s="557" t="s">
        <v>133</v>
      </c>
      <c r="N559" s="559" t="s">
        <v>2</v>
      </c>
      <c r="O559" s="559"/>
      <c r="P559" s="559"/>
      <c r="Q559" s="559"/>
      <c r="R559" s="559"/>
      <c r="S559" s="559"/>
      <c r="T559" s="125"/>
      <c r="U559" s="88"/>
      <c r="V559" s="118"/>
    </row>
    <row r="560" spans="1:24" s="1" customFormat="1" ht="14.25" customHeight="1" thickBot="1" x14ac:dyDescent="0.25">
      <c r="A560" s="139"/>
      <c r="B560" s="106" t="s">
        <v>6</v>
      </c>
      <c r="C560" s="108" t="s">
        <v>144</v>
      </c>
      <c r="D560" s="108" t="s">
        <v>139</v>
      </c>
      <c r="E560" s="108" t="s">
        <v>145</v>
      </c>
      <c r="F560" s="110" t="s">
        <v>140</v>
      </c>
      <c r="G560" s="109" t="s">
        <v>9</v>
      </c>
      <c r="H560" s="108" t="s">
        <v>136</v>
      </c>
      <c r="I560" s="108" t="s">
        <v>135</v>
      </c>
      <c r="J560" s="108" t="s">
        <v>134</v>
      </c>
      <c r="K560" s="108" t="s">
        <v>137</v>
      </c>
      <c r="L560" s="556"/>
      <c r="M560" s="558"/>
      <c r="N560" s="107" t="s">
        <v>10</v>
      </c>
      <c r="O560" s="107" t="s">
        <v>11</v>
      </c>
      <c r="P560" s="107" t="s">
        <v>120</v>
      </c>
      <c r="Q560" s="107" t="s">
        <v>122</v>
      </c>
      <c r="R560" s="107" t="s">
        <v>121</v>
      </c>
      <c r="S560" s="107" t="s">
        <v>116</v>
      </c>
      <c r="T560" s="126" t="s">
        <v>141</v>
      </c>
      <c r="U560" s="108" t="s">
        <v>143</v>
      </c>
      <c r="V560" s="119" t="s">
        <v>142</v>
      </c>
      <c r="W560" s="79"/>
      <c r="X560" s="89"/>
    </row>
    <row r="561" spans="1:24" s="4" customFormat="1" x14ac:dyDescent="0.25">
      <c r="A561" s="135"/>
      <c r="B561" s="135"/>
      <c r="C561" s="101"/>
      <c r="D561" s="101"/>
      <c r="E561" s="101"/>
      <c r="F561" s="136"/>
      <c r="G561" s="91"/>
      <c r="H561" s="102"/>
      <c r="I561" s="101"/>
      <c r="J561" s="101"/>
      <c r="K561" s="101"/>
      <c r="L561" s="140"/>
      <c r="M561" s="141"/>
      <c r="N561" s="92"/>
      <c r="O561" s="99"/>
      <c r="P561" s="99"/>
      <c r="Q561" s="92"/>
      <c r="R561" s="92"/>
      <c r="S561" s="92"/>
      <c r="T561" s="135"/>
      <c r="U561" s="92"/>
      <c r="V561" s="142"/>
      <c r="W561" s="72"/>
      <c r="X561" s="90"/>
    </row>
    <row r="562" spans="1:24" s="66" customFormat="1" ht="30" customHeight="1" x14ac:dyDescent="0.25">
      <c r="A562" s="117"/>
      <c r="B562" s="113" t="s">
        <v>13</v>
      </c>
      <c r="C562" s="100">
        <f>'RETRIBUCIONES 2025'!$C$4</f>
        <v>1147.3499999999999</v>
      </c>
      <c r="D562" s="100">
        <f>C562*12</f>
        <v>13768.199999999999</v>
      </c>
      <c r="E562" s="100">
        <f>5*'RETRIBUCIONES 2025'!C229</f>
        <v>0</v>
      </c>
      <c r="F562" s="144">
        <f>E562*12</f>
        <v>0</v>
      </c>
      <c r="G562" s="143" t="s">
        <v>96</v>
      </c>
      <c r="H562" s="100">
        <f>+'RETRIBUCIONES 2025'!O14</f>
        <v>610</v>
      </c>
      <c r="I562" s="100">
        <f>H562*12</f>
        <v>7320</v>
      </c>
      <c r="J562" s="100">
        <v>843</v>
      </c>
      <c r="K562" s="71">
        <f>J562*12</f>
        <v>10116</v>
      </c>
      <c r="L562" s="145">
        <f>C562+E562+H562+J562</f>
        <v>2600.35</v>
      </c>
      <c r="M562" s="146">
        <f>D562+F562+I562+K562</f>
        <v>31204.199999999997</v>
      </c>
      <c r="N562" s="73">
        <f>'RETRIBUCIONES 2025'!$C$9</f>
        <v>836.78</v>
      </c>
      <c r="O562" s="73">
        <v>0</v>
      </c>
      <c r="P562" s="73">
        <f>SUM(N562:O562)</f>
        <v>836.78</v>
      </c>
      <c r="Q562" s="71">
        <f>H562</f>
        <v>610</v>
      </c>
      <c r="R562" s="71">
        <f>J562</f>
        <v>843</v>
      </c>
      <c r="S562" s="71">
        <f>SUM(P562:R562)</f>
        <v>2289.7799999999997</v>
      </c>
      <c r="T562" s="117">
        <f>M562+S562*2</f>
        <v>35783.759999999995</v>
      </c>
      <c r="U562" s="73">
        <f>T562*0.33</f>
        <v>11808.640799999999</v>
      </c>
      <c r="V562" s="147">
        <f>SUM(T562:U562)</f>
        <v>47592.400799999996</v>
      </c>
      <c r="W562" s="71"/>
      <c r="X562" s="88"/>
    </row>
    <row r="563" spans="1:24" s="1" customFormat="1" ht="13.5" customHeight="1" x14ac:dyDescent="0.25">
      <c r="A563" s="103"/>
      <c r="B563" s="111"/>
      <c r="C563" s="69"/>
      <c r="D563" s="69"/>
      <c r="E563" s="69"/>
      <c r="F563" s="112"/>
      <c r="G563" s="68"/>
      <c r="H563" s="69"/>
      <c r="I563" s="69"/>
      <c r="J563" s="69"/>
      <c r="K563" s="71"/>
      <c r="L563" s="129"/>
      <c r="M563" s="130"/>
      <c r="N563" s="71"/>
      <c r="O563" s="71"/>
      <c r="P563" s="71"/>
      <c r="Q563" s="71"/>
      <c r="R563" s="71"/>
      <c r="S563" s="71"/>
      <c r="T563" s="103"/>
      <c r="U563" s="71"/>
      <c r="V563" s="118"/>
      <c r="W563" s="71"/>
      <c r="X563" s="88"/>
    </row>
    <row r="564" spans="1:24" s="1" customFormat="1" ht="13.5" customHeight="1" x14ac:dyDescent="0.25">
      <c r="A564" s="477" t="s">
        <v>108</v>
      </c>
      <c r="B564" s="134"/>
      <c r="C564" s="120">
        <f>SUM(C562:C563)</f>
        <v>1147.3499999999999</v>
      </c>
      <c r="D564" s="120">
        <f t="shared" ref="D564:V564" si="213">SUM(D562:D563)</f>
        <v>13768.199999999999</v>
      </c>
      <c r="E564" s="120">
        <f t="shared" si="213"/>
        <v>0</v>
      </c>
      <c r="F564" s="137">
        <f t="shared" si="213"/>
        <v>0</v>
      </c>
      <c r="G564" s="120"/>
      <c r="H564" s="120">
        <f t="shared" si="213"/>
        <v>610</v>
      </c>
      <c r="I564" s="120">
        <f t="shared" si="213"/>
        <v>7320</v>
      </c>
      <c r="J564" s="120">
        <f t="shared" si="213"/>
        <v>843</v>
      </c>
      <c r="K564" s="120">
        <f t="shared" si="213"/>
        <v>10116</v>
      </c>
      <c r="L564" s="138">
        <f t="shared" si="213"/>
        <v>2600.35</v>
      </c>
      <c r="M564" s="137">
        <f t="shared" si="213"/>
        <v>31204.199999999997</v>
      </c>
      <c r="N564" s="120">
        <f t="shared" si="213"/>
        <v>836.78</v>
      </c>
      <c r="O564" s="120">
        <f t="shared" si="213"/>
        <v>0</v>
      </c>
      <c r="P564" s="120">
        <f t="shared" si="213"/>
        <v>836.78</v>
      </c>
      <c r="Q564" s="120">
        <f t="shared" si="213"/>
        <v>610</v>
      </c>
      <c r="R564" s="120">
        <f t="shared" si="213"/>
        <v>843</v>
      </c>
      <c r="S564" s="120">
        <f t="shared" si="213"/>
        <v>2289.7799999999997</v>
      </c>
      <c r="T564" s="138">
        <f t="shared" si="213"/>
        <v>35783.759999999995</v>
      </c>
      <c r="U564" s="120">
        <f t="shared" si="213"/>
        <v>11808.640799999999</v>
      </c>
      <c r="V564" s="137">
        <f t="shared" si="213"/>
        <v>47592.400799999996</v>
      </c>
      <c r="W564" s="71"/>
      <c r="X564" s="88"/>
    </row>
    <row r="565" spans="1:24" s="1" customFormat="1" ht="13.5" customHeight="1" thickBot="1" x14ac:dyDescent="0.3">
      <c r="A565" s="70"/>
      <c r="B565" s="123"/>
      <c r="C565" s="105" t="s">
        <v>174</v>
      </c>
      <c r="D565" s="105"/>
      <c r="E565" s="105" t="s">
        <v>175</v>
      </c>
      <c r="F565" s="114"/>
      <c r="G565" s="105"/>
      <c r="H565" s="105"/>
      <c r="I565" s="105" t="s">
        <v>176</v>
      </c>
      <c r="J565" s="105"/>
      <c r="K565" s="105" t="s">
        <v>177</v>
      </c>
      <c r="L565" s="131"/>
      <c r="M565" s="116"/>
      <c r="N565" s="104"/>
      <c r="O565" s="104"/>
      <c r="P565" s="104" t="s">
        <v>174</v>
      </c>
      <c r="Q565" s="105" t="s">
        <v>176</v>
      </c>
      <c r="R565" s="105" t="s">
        <v>177</v>
      </c>
      <c r="S565" s="98"/>
      <c r="T565" s="127"/>
      <c r="U565" s="122"/>
      <c r="V565" s="133"/>
      <c r="W565" s="71"/>
      <c r="X565" s="88"/>
    </row>
    <row r="566" spans="1:24" s="1" customFormat="1" ht="13.5" customHeight="1" x14ac:dyDescent="0.25">
      <c r="A566" s="71"/>
      <c r="B566" s="75"/>
      <c r="C566" s="158"/>
      <c r="D566" s="158"/>
      <c r="E566" s="158"/>
      <c r="F566" s="158"/>
      <c r="G566" s="158"/>
      <c r="H566" s="158"/>
      <c r="I566" s="158"/>
      <c r="J566" s="158"/>
      <c r="K566" s="158"/>
      <c r="L566" s="158"/>
      <c r="M566" s="159"/>
      <c r="N566" s="159"/>
      <c r="O566" s="159"/>
      <c r="P566" s="159"/>
      <c r="Q566" s="158"/>
      <c r="R566" s="158"/>
      <c r="S566" s="71"/>
      <c r="T566" s="88"/>
      <c r="U566" s="153"/>
      <c r="V566" s="153"/>
      <c r="W566" s="71"/>
      <c r="X566" s="88"/>
    </row>
    <row r="567" spans="1:24" s="1" customFormat="1" ht="13.5" customHeight="1" x14ac:dyDescent="0.25">
      <c r="A567" s="71"/>
      <c r="B567" s="75"/>
      <c r="C567" s="158"/>
      <c r="D567" s="158"/>
      <c r="E567" s="158"/>
      <c r="F567" s="158"/>
      <c r="G567" s="158"/>
      <c r="H567" s="158"/>
      <c r="I567" s="158"/>
      <c r="J567" s="158"/>
      <c r="K567" s="158"/>
      <c r="L567" s="158"/>
      <c r="M567" s="159"/>
      <c r="N567" s="159"/>
      <c r="O567" s="159"/>
      <c r="P567" s="159"/>
      <c r="Q567" s="158"/>
      <c r="R567" s="158"/>
      <c r="S567" s="71"/>
      <c r="T567" s="88"/>
      <c r="U567" s="153"/>
      <c r="V567" s="153"/>
      <c r="W567" s="71"/>
      <c r="X567" s="88"/>
    </row>
  </sheetData>
  <mergeCells count="202">
    <mergeCell ref="A536:V536"/>
    <mergeCell ref="B537:F537"/>
    <mergeCell ref="L537:L538"/>
    <mergeCell ref="M537:M538"/>
    <mergeCell ref="N537:S537"/>
    <mergeCell ref="G537:K537"/>
    <mergeCell ref="A454:S454"/>
    <mergeCell ref="B445:F445"/>
    <mergeCell ref="G445:K445"/>
    <mergeCell ref="L445:L446"/>
    <mergeCell ref="M445:M446"/>
    <mergeCell ref="N445:S445"/>
    <mergeCell ref="A453:V453"/>
    <mergeCell ref="A455:V455"/>
    <mergeCell ref="A456:V456"/>
    <mergeCell ref="B457:F457"/>
    <mergeCell ref="G457:K457"/>
    <mergeCell ref="L457:L458"/>
    <mergeCell ref="M457:M458"/>
    <mergeCell ref="N457:S457"/>
    <mergeCell ref="A465:V465"/>
    <mergeCell ref="A466:V466"/>
    <mergeCell ref="B467:F467"/>
    <mergeCell ref="G467:K467"/>
    <mergeCell ref="L467:L468"/>
    <mergeCell ref="M467:M468"/>
    <mergeCell ref="Z5:AB5"/>
    <mergeCell ref="N50:S50"/>
    <mergeCell ref="A5:V5"/>
    <mergeCell ref="A6:V6"/>
    <mergeCell ref="A47:V47"/>
    <mergeCell ref="A48:V48"/>
    <mergeCell ref="L8:L9"/>
    <mergeCell ref="B50:F50"/>
    <mergeCell ref="M8:M9"/>
    <mergeCell ref="G8:K8"/>
    <mergeCell ref="B8:F8"/>
    <mergeCell ref="G50:K50"/>
    <mergeCell ref="L50:L51"/>
    <mergeCell ref="M50:M51"/>
    <mergeCell ref="N8:S8"/>
    <mergeCell ref="A124:V124"/>
    <mergeCell ref="A125:V125"/>
    <mergeCell ref="B127:F127"/>
    <mergeCell ref="G127:K127"/>
    <mergeCell ref="L127:L128"/>
    <mergeCell ref="M127:M128"/>
    <mergeCell ref="N127:S127"/>
    <mergeCell ref="A136:V136"/>
    <mergeCell ref="A137:V137"/>
    <mergeCell ref="B139:F139"/>
    <mergeCell ref="G139:K139"/>
    <mergeCell ref="L139:L140"/>
    <mergeCell ref="M139:M140"/>
    <mergeCell ref="N139:S139"/>
    <mergeCell ref="A166:V166"/>
    <mergeCell ref="A167:V167"/>
    <mergeCell ref="B169:F169"/>
    <mergeCell ref="G169:K169"/>
    <mergeCell ref="L169:L170"/>
    <mergeCell ref="M169:M170"/>
    <mergeCell ref="N169:S169"/>
    <mergeCell ref="A179:V179"/>
    <mergeCell ref="A180:V180"/>
    <mergeCell ref="A181:V181"/>
    <mergeCell ref="B183:F183"/>
    <mergeCell ref="G183:K183"/>
    <mergeCell ref="L183:L184"/>
    <mergeCell ref="M183:M184"/>
    <mergeCell ref="N183:S183"/>
    <mergeCell ref="A207:V207"/>
    <mergeCell ref="A208:V208"/>
    <mergeCell ref="B210:F210"/>
    <mergeCell ref="G210:K210"/>
    <mergeCell ref="L210:L211"/>
    <mergeCell ref="M210:M211"/>
    <mergeCell ref="N210:S210"/>
    <mergeCell ref="A222:V222"/>
    <mergeCell ref="A223:V223"/>
    <mergeCell ref="B225:F225"/>
    <mergeCell ref="G225:K225"/>
    <mergeCell ref="L225:L226"/>
    <mergeCell ref="M225:M226"/>
    <mergeCell ref="N225:S225"/>
    <mergeCell ref="A235:V235"/>
    <mergeCell ref="A236:V236"/>
    <mergeCell ref="B238:F238"/>
    <mergeCell ref="G238:K238"/>
    <mergeCell ref="L238:L239"/>
    <mergeCell ref="M238:M239"/>
    <mergeCell ref="N238:S238"/>
    <mergeCell ref="A246:V246"/>
    <mergeCell ref="A247:V247"/>
    <mergeCell ref="B249:F249"/>
    <mergeCell ref="G249:K249"/>
    <mergeCell ref="L249:L250"/>
    <mergeCell ref="M249:M250"/>
    <mergeCell ref="N249:S249"/>
    <mergeCell ref="A556:V556"/>
    <mergeCell ref="A557:V557"/>
    <mergeCell ref="A315:V315"/>
    <mergeCell ref="L263:L264"/>
    <mergeCell ref="M263:M264"/>
    <mergeCell ref="N263:S263"/>
    <mergeCell ref="L340:L341"/>
    <mergeCell ref="M340:M341"/>
    <mergeCell ref="N340:S340"/>
    <mergeCell ref="A327:V327"/>
    <mergeCell ref="A328:V328"/>
    <mergeCell ref="B329:F329"/>
    <mergeCell ref="G329:K329"/>
    <mergeCell ref="L329:L330"/>
    <mergeCell ref="M329:M330"/>
    <mergeCell ref="N329:S329"/>
    <mergeCell ref="A338:V338"/>
    <mergeCell ref="L559:L560"/>
    <mergeCell ref="M559:M560"/>
    <mergeCell ref="N559:S559"/>
    <mergeCell ref="B559:F559"/>
    <mergeCell ref="G559:K559"/>
    <mergeCell ref="A317:V317"/>
    <mergeCell ref="A318:V318"/>
    <mergeCell ref="B319:F319"/>
    <mergeCell ref="G319:K319"/>
    <mergeCell ref="L319:L320"/>
    <mergeCell ref="M319:M320"/>
    <mergeCell ref="N319:S319"/>
    <mergeCell ref="A349:V349"/>
    <mergeCell ref="A350:V350"/>
    <mergeCell ref="B351:F351"/>
    <mergeCell ref="G351:K351"/>
    <mergeCell ref="L351:L352"/>
    <mergeCell ref="M351:M352"/>
    <mergeCell ref="N351:S351"/>
    <mergeCell ref="A359:V359"/>
    <mergeCell ref="A360:V360"/>
    <mergeCell ref="B361:F361"/>
    <mergeCell ref="B340:F340"/>
    <mergeCell ref="G340:K340"/>
    <mergeCell ref="A339:V339"/>
    <mergeCell ref="G301:K301"/>
    <mergeCell ref="L301:L302"/>
    <mergeCell ref="M301:M302"/>
    <mergeCell ref="N301:S301"/>
    <mergeCell ref="G361:K361"/>
    <mergeCell ref="L361:L362"/>
    <mergeCell ref="M361:M362"/>
    <mergeCell ref="N361:S361"/>
    <mergeCell ref="A369:V369"/>
    <mergeCell ref="A370:V370"/>
    <mergeCell ref="B371:F371"/>
    <mergeCell ref="G371:K371"/>
    <mergeCell ref="L371:L372"/>
    <mergeCell ref="M371:M372"/>
    <mergeCell ref="N371:S371"/>
    <mergeCell ref="A400:V400"/>
    <mergeCell ref="A401:V401"/>
    <mergeCell ref="M402:M403"/>
    <mergeCell ref="N402:S402"/>
    <mergeCell ref="A413:V413"/>
    <mergeCell ref="A414:V414"/>
    <mergeCell ref="B415:F415"/>
    <mergeCell ref="G415:K415"/>
    <mergeCell ref="L415:L416"/>
    <mergeCell ref="M415:M416"/>
    <mergeCell ref="N415:S415"/>
    <mergeCell ref="B402:F402"/>
    <mergeCell ref="G402:K402"/>
    <mergeCell ref="L402:L403"/>
    <mergeCell ref="A433:V433"/>
    <mergeCell ref="A434:V434"/>
    <mergeCell ref="B435:F435"/>
    <mergeCell ref="G435:K435"/>
    <mergeCell ref="L435:L436"/>
    <mergeCell ref="M435:M436"/>
    <mergeCell ref="N435:S435"/>
    <mergeCell ref="A443:V443"/>
    <mergeCell ref="A444:V444"/>
    <mergeCell ref="A259:V259"/>
    <mergeCell ref="A260:V260"/>
    <mergeCell ref="A261:V261"/>
    <mergeCell ref="A262:A264"/>
    <mergeCell ref="B263:F263"/>
    <mergeCell ref="G263:K263"/>
    <mergeCell ref="B491:F491"/>
    <mergeCell ref="L491:L492"/>
    <mergeCell ref="M491:M492"/>
    <mergeCell ref="N491:S491"/>
    <mergeCell ref="H491:I491"/>
    <mergeCell ref="A489:V489"/>
    <mergeCell ref="A490:V490"/>
    <mergeCell ref="A476:V476"/>
    <mergeCell ref="A477:V477"/>
    <mergeCell ref="B478:F478"/>
    <mergeCell ref="G478:K478"/>
    <mergeCell ref="L478:L479"/>
    <mergeCell ref="M478:M479"/>
    <mergeCell ref="N478:S478"/>
    <mergeCell ref="N467:S467"/>
    <mergeCell ref="A299:V299"/>
    <mergeCell ref="A300:V300"/>
    <mergeCell ref="B301:F301"/>
  </mergeCells>
  <phoneticPr fontId="3" type="noConversion"/>
  <printOptions horizontalCentered="1"/>
  <pageMargins left="0.25" right="0.25" top="0.75" bottom="0.75" header="0.3" footer="0.3"/>
  <pageSetup paperSize="9" scale="20" firstPageNumber="0" fitToHeight="0" pageOrder="overThenDown" orientation="landscape" r:id="rId1"/>
  <headerFooter alignWithMargins="0"/>
  <rowBreaks count="2" manualBreakCount="2">
    <brk id="52" max="20" man="1"/>
    <brk id="365" max="2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W51"/>
  <sheetViews>
    <sheetView topLeftCell="A35" zoomScale="110" zoomScaleNormal="110" workbookViewId="0">
      <selection activeCell="J6" sqref="J6"/>
    </sheetView>
  </sheetViews>
  <sheetFormatPr baseColWidth="10" defaultRowHeight="12.75" x14ac:dyDescent="0.2"/>
  <cols>
    <col min="1" max="1" width="26.140625" customWidth="1"/>
    <col min="2" max="2" width="11.140625" customWidth="1"/>
    <col min="3" max="3" width="9.7109375" customWidth="1"/>
    <col min="4" max="4" width="11.85546875" customWidth="1"/>
    <col min="5" max="5" width="9.7109375" style="6" customWidth="1"/>
    <col min="6" max="6" width="15.42578125" style="6" customWidth="1"/>
    <col min="7" max="10" width="9.7109375" style="6" customWidth="1"/>
    <col min="11" max="14" width="9.7109375" customWidth="1"/>
    <col min="15" max="15" width="11.7109375" style="6" customWidth="1"/>
    <col min="16" max="20" width="9.7109375" style="6" customWidth="1"/>
    <col min="21" max="23" width="9.7109375" customWidth="1"/>
  </cols>
  <sheetData>
    <row r="1" spans="1:23" ht="13.5" thickBot="1" x14ac:dyDescent="0.25"/>
    <row r="2" spans="1:23" s="6" customFormat="1" ht="30" customHeight="1" x14ac:dyDescent="0.2">
      <c r="A2" s="609" t="s">
        <v>1</v>
      </c>
      <c r="B2" s="610"/>
      <c r="C2" s="610"/>
      <c r="D2" s="610"/>
      <c r="E2" s="610"/>
      <c r="F2" s="610"/>
      <c r="G2" s="611"/>
    </row>
    <row r="3" spans="1:23" s="16" customFormat="1" ht="15" customHeight="1" x14ac:dyDescent="0.2">
      <c r="A3" s="17" t="s">
        <v>5</v>
      </c>
      <c r="B3" s="18" t="s">
        <v>12</v>
      </c>
      <c r="C3" s="18" t="s">
        <v>13</v>
      </c>
      <c r="D3" s="18" t="s">
        <v>56</v>
      </c>
      <c r="E3" s="18" t="s">
        <v>15</v>
      </c>
      <c r="F3" s="18" t="s">
        <v>17</v>
      </c>
      <c r="G3" s="19" t="s">
        <v>26</v>
      </c>
      <c r="H3" s="15"/>
      <c r="I3" s="15"/>
      <c r="J3" s="15"/>
      <c r="M3" s="612" t="s">
        <v>64</v>
      </c>
      <c r="N3" s="612"/>
      <c r="O3" s="76">
        <v>1.024975</v>
      </c>
      <c r="P3" s="15"/>
      <c r="Q3" s="15"/>
      <c r="R3" s="15"/>
      <c r="S3" s="15"/>
      <c r="T3" s="15"/>
    </row>
    <row r="4" spans="1:23" x14ac:dyDescent="0.2">
      <c r="A4" s="13" t="s">
        <v>3</v>
      </c>
      <c r="B4" s="23">
        <v>1326.9</v>
      </c>
      <c r="C4" s="23">
        <v>1147.3499999999999</v>
      </c>
      <c r="D4" s="23">
        <v>1002.94</v>
      </c>
      <c r="E4" s="23">
        <v>861.46</v>
      </c>
      <c r="F4" s="23">
        <v>716.98</v>
      </c>
      <c r="G4" s="24">
        <v>656.23</v>
      </c>
    </row>
    <row r="5" spans="1:23" ht="13.5" thickBot="1" x14ac:dyDescent="0.25">
      <c r="A5" s="14" t="s">
        <v>4</v>
      </c>
      <c r="B5" s="25">
        <v>51.07</v>
      </c>
      <c r="C5" s="25">
        <v>41.65</v>
      </c>
      <c r="D5" s="25">
        <v>36.54</v>
      </c>
      <c r="E5" s="25">
        <v>31.53</v>
      </c>
      <c r="F5" s="25">
        <v>21.46</v>
      </c>
      <c r="G5" s="26">
        <v>16.16</v>
      </c>
      <c r="J5" s="80"/>
    </row>
    <row r="6" spans="1:23" ht="13.5" thickBot="1" x14ac:dyDescent="0.25">
      <c r="B6" s="1"/>
      <c r="G6" s="9"/>
      <c r="H6" s="9"/>
      <c r="I6" s="9"/>
      <c r="M6" s="1"/>
      <c r="N6" s="1"/>
    </row>
    <row r="7" spans="1:23" ht="30" customHeight="1" x14ac:dyDescent="0.2">
      <c r="A7" s="606" t="s">
        <v>2</v>
      </c>
      <c r="B7" s="607"/>
      <c r="C7" s="607"/>
      <c r="D7" s="607"/>
      <c r="E7" s="607"/>
      <c r="F7" s="607"/>
      <c r="G7" s="608"/>
    </row>
    <row r="8" spans="1:23" s="16" customFormat="1" ht="15" customHeight="1" x14ac:dyDescent="0.2">
      <c r="A8" s="17" t="s">
        <v>5</v>
      </c>
      <c r="B8" s="18" t="s">
        <v>12</v>
      </c>
      <c r="C8" s="18" t="s">
        <v>13</v>
      </c>
      <c r="D8" s="18" t="s">
        <v>56</v>
      </c>
      <c r="E8" s="18" t="s">
        <v>15</v>
      </c>
      <c r="F8" s="18" t="s">
        <v>17</v>
      </c>
      <c r="G8" s="19" t="s">
        <v>26</v>
      </c>
      <c r="H8" s="15"/>
      <c r="I8" s="15"/>
      <c r="J8" s="15"/>
      <c r="O8" s="15"/>
      <c r="P8" s="15"/>
      <c r="Q8" s="15"/>
      <c r="R8" s="15"/>
      <c r="S8" s="15"/>
      <c r="T8" s="15"/>
    </row>
    <row r="9" spans="1:23" x14ac:dyDescent="0.2">
      <c r="A9" s="48" t="s">
        <v>3</v>
      </c>
      <c r="B9" s="23">
        <v>818.82</v>
      </c>
      <c r="C9" s="23">
        <v>836.78</v>
      </c>
      <c r="D9" s="23">
        <v>866.84</v>
      </c>
      <c r="E9" s="23">
        <v>744.56</v>
      </c>
      <c r="F9" s="23">
        <v>710.44</v>
      </c>
      <c r="G9" s="24">
        <v>656.23</v>
      </c>
    </row>
    <row r="10" spans="1:23" ht="13.5" thickBot="1" x14ac:dyDescent="0.25">
      <c r="A10" s="49" t="s">
        <v>4</v>
      </c>
      <c r="B10" s="25">
        <v>31.53</v>
      </c>
      <c r="C10" s="25">
        <v>30.37</v>
      </c>
      <c r="D10" s="25">
        <v>31.6</v>
      </c>
      <c r="E10" s="25">
        <v>27.21</v>
      </c>
      <c r="F10" s="25">
        <v>21.24</v>
      </c>
      <c r="G10" s="26">
        <v>16.16</v>
      </c>
    </row>
    <row r="11" spans="1:23" ht="13.5" thickBot="1" x14ac:dyDescent="0.25">
      <c r="B11" s="1"/>
      <c r="C11" s="1"/>
      <c r="D11" s="1"/>
      <c r="G11" s="9"/>
      <c r="H11" s="9"/>
      <c r="I11" s="9"/>
      <c r="J11" s="9"/>
      <c r="K11" s="1"/>
      <c r="L11" s="1"/>
      <c r="M11" s="4"/>
      <c r="N11" s="1"/>
    </row>
    <row r="12" spans="1:23" ht="30" customHeight="1" x14ac:dyDescent="0.2">
      <c r="A12" s="603" t="s">
        <v>69</v>
      </c>
      <c r="B12" s="604"/>
      <c r="C12" s="604"/>
      <c r="D12" s="604"/>
      <c r="E12" s="604"/>
      <c r="F12" s="604"/>
      <c r="G12" s="604"/>
      <c r="H12" s="604"/>
      <c r="I12" s="604"/>
      <c r="J12" s="604"/>
      <c r="K12" s="604"/>
      <c r="L12" s="604"/>
      <c r="M12" s="604"/>
      <c r="N12" s="604"/>
      <c r="O12" s="604"/>
      <c r="P12" s="604"/>
      <c r="Q12" s="604"/>
      <c r="R12" s="604"/>
      <c r="S12" s="604"/>
      <c r="T12" s="604"/>
      <c r="U12" s="604"/>
      <c r="V12" s="604"/>
      <c r="W12" s="605"/>
    </row>
    <row r="13" spans="1:23" s="15" customFormat="1" ht="15" x14ac:dyDescent="0.2">
      <c r="A13" s="20" t="s">
        <v>16</v>
      </c>
      <c r="B13" s="21">
        <v>9</v>
      </c>
      <c r="C13" s="21">
        <v>10</v>
      </c>
      <c r="D13" s="21">
        <v>11</v>
      </c>
      <c r="E13" s="21">
        <v>12</v>
      </c>
      <c r="F13" s="21">
        <v>13</v>
      </c>
      <c r="G13" s="21">
        <v>14</v>
      </c>
      <c r="H13" s="21">
        <v>15</v>
      </c>
      <c r="I13" s="21">
        <v>16</v>
      </c>
      <c r="J13" s="21">
        <v>17</v>
      </c>
      <c r="K13" s="21">
        <v>18</v>
      </c>
      <c r="L13" s="21">
        <v>19</v>
      </c>
      <c r="M13" s="21">
        <v>20</v>
      </c>
      <c r="N13" s="21">
        <v>21</v>
      </c>
      <c r="O13" s="21">
        <v>22</v>
      </c>
      <c r="P13" s="21">
        <v>23</v>
      </c>
      <c r="Q13" s="21">
        <v>24</v>
      </c>
      <c r="R13" s="21">
        <v>25</v>
      </c>
      <c r="S13" s="21">
        <v>26</v>
      </c>
      <c r="T13" s="21">
        <v>27</v>
      </c>
      <c r="U13" s="21">
        <v>28</v>
      </c>
      <c r="V13" s="21">
        <v>29</v>
      </c>
      <c r="W13" s="22">
        <v>30</v>
      </c>
    </row>
    <row r="14" spans="1:23" s="6" customFormat="1" ht="13.5" thickBot="1" x14ac:dyDescent="0.25">
      <c r="A14" s="47" t="s">
        <v>7</v>
      </c>
      <c r="B14" s="25">
        <v>244.08</v>
      </c>
      <c r="C14" s="25">
        <v>257.49</v>
      </c>
      <c r="D14" s="25">
        <v>284.31</v>
      </c>
      <c r="E14" s="25">
        <v>311.19</v>
      </c>
      <c r="F14" s="25">
        <v>338.07</v>
      </c>
      <c r="G14" s="25">
        <v>364.97</v>
      </c>
      <c r="H14" s="25">
        <v>391.78</v>
      </c>
      <c r="I14" s="25">
        <v>418.69</v>
      </c>
      <c r="J14" s="25">
        <v>445.5</v>
      </c>
      <c r="K14" s="25">
        <v>472.37</v>
      </c>
      <c r="L14" s="25">
        <v>499.24</v>
      </c>
      <c r="M14" s="25">
        <v>526.09</v>
      </c>
      <c r="N14" s="25">
        <v>566.36</v>
      </c>
      <c r="O14" s="25">
        <v>610</v>
      </c>
      <c r="P14" s="25">
        <v>653.76</v>
      </c>
      <c r="Q14" s="25">
        <v>697.43</v>
      </c>
      <c r="R14" s="25">
        <v>741.15</v>
      </c>
      <c r="S14" s="25">
        <v>835.38</v>
      </c>
      <c r="T14" s="25">
        <v>952.17</v>
      </c>
      <c r="U14" s="25">
        <v>995.93</v>
      </c>
      <c r="V14" s="25">
        <v>1039.6099999999999</v>
      </c>
      <c r="W14" s="26">
        <v>1159.06</v>
      </c>
    </row>
    <row r="15" spans="1:23" x14ac:dyDescent="0.2">
      <c r="B15" s="1"/>
      <c r="C15" s="1"/>
      <c r="D15" s="1"/>
      <c r="G15" s="9"/>
      <c r="H15" s="9"/>
      <c r="I15" s="9"/>
      <c r="J15" s="9"/>
      <c r="K15" s="1"/>
      <c r="L15" s="1"/>
      <c r="M15" s="4"/>
      <c r="N15" s="1"/>
    </row>
    <row r="16" spans="1:23" ht="13.5" thickBot="1" x14ac:dyDescent="0.25">
      <c r="D16" s="1"/>
      <c r="G16" s="9"/>
      <c r="H16" s="9"/>
      <c r="I16" s="9"/>
      <c r="J16" s="9"/>
      <c r="K16" s="1"/>
      <c r="L16" s="1"/>
      <c r="M16" s="4"/>
      <c r="N16" s="1"/>
    </row>
    <row r="17" spans="1:20" s="39" customFormat="1" ht="30" customHeight="1" x14ac:dyDescent="0.2">
      <c r="A17" s="606" t="s">
        <v>86</v>
      </c>
      <c r="B17" s="607"/>
      <c r="C17" s="607"/>
      <c r="D17" s="607"/>
      <c r="E17" s="607"/>
      <c r="F17" s="608"/>
      <c r="G17" s="36"/>
      <c r="H17" s="36"/>
      <c r="I17" s="36"/>
      <c r="J17" s="36"/>
      <c r="K17" s="38"/>
      <c r="L17" s="38"/>
      <c r="M17" s="38"/>
      <c r="N17" s="38"/>
      <c r="O17" s="37"/>
      <c r="P17" s="37"/>
      <c r="Q17" s="37"/>
      <c r="R17" s="37"/>
      <c r="S17" s="37"/>
      <c r="T17" s="37"/>
    </row>
    <row r="18" spans="1:20" ht="12.75" customHeight="1" x14ac:dyDescent="0.2">
      <c r="A18" s="11"/>
      <c r="B18" s="613" t="s">
        <v>98</v>
      </c>
      <c r="C18" s="614"/>
      <c r="D18" s="614"/>
      <c r="E18" s="614"/>
      <c r="F18" s="615"/>
      <c r="G18" s="9"/>
      <c r="H18" s="9"/>
      <c r="I18" s="9"/>
      <c r="J18" s="9"/>
      <c r="K18" s="1"/>
      <c r="L18" s="1"/>
      <c r="M18" s="1"/>
      <c r="N18" s="1"/>
    </row>
    <row r="19" spans="1:20" s="5" customFormat="1" ht="30" x14ac:dyDescent="0.2">
      <c r="A19" s="42" t="s">
        <v>87</v>
      </c>
      <c r="B19" s="41" t="s">
        <v>111</v>
      </c>
      <c r="C19" s="41" t="s">
        <v>114</v>
      </c>
      <c r="D19" s="41" t="s">
        <v>112</v>
      </c>
      <c r="E19" s="41" t="s">
        <v>113</v>
      </c>
      <c r="F19" s="43" t="s">
        <v>64</v>
      </c>
      <c r="G19" s="9"/>
      <c r="H19" s="9"/>
      <c r="I19" s="6"/>
      <c r="J19" s="6"/>
      <c r="O19" s="6"/>
      <c r="P19" s="6"/>
      <c r="Q19" s="6"/>
      <c r="R19" s="6"/>
      <c r="S19" s="6"/>
      <c r="T19" s="6"/>
    </row>
    <row r="20" spans="1:20" x14ac:dyDescent="0.2">
      <c r="A20" s="44" t="s">
        <v>49</v>
      </c>
      <c r="B20" s="82">
        <v>2021.87</v>
      </c>
      <c r="C20" s="82">
        <v>35.81</v>
      </c>
      <c r="D20" s="81">
        <v>2096.33</v>
      </c>
      <c r="E20" s="82">
        <v>37.14</v>
      </c>
      <c r="F20" s="83">
        <f>+D20-B20</f>
        <v>74.460000000000036</v>
      </c>
      <c r="G20" s="9"/>
      <c r="H20" s="9"/>
    </row>
    <row r="21" spans="1:20" x14ac:dyDescent="0.2">
      <c r="A21" s="44" t="s">
        <v>50</v>
      </c>
      <c r="B21" s="82">
        <v>2529.86</v>
      </c>
      <c r="C21" s="82">
        <v>43.18</v>
      </c>
      <c r="D21" s="81">
        <v>2623.03</v>
      </c>
      <c r="E21" s="82">
        <v>44.77</v>
      </c>
      <c r="F21" s="83">
        <f>+D21-B21</f>
        <v>93.170000000000073</v>
      </c>
      <c r="G21" s="10"/>
      <c r="H21" s="10"/>
    </row>
    <row r="22" spans="1:20" x14ac:dyDescent="0.2">
      <c r="A22" s="44" t="s">
        <v>52</v>
      </c>
      <c r="B22" s="82">
        <v>1603.21</v>
      </c>
      <c r="C22" s="82">
        <v>27.65</v>
      </c>
      <c r="D22" s="81">
        <v>1662.26</v>
      </c>
      <c r="E22" s="82">
        <v>28.67</v>
      </c>
      <c r="F22" s="83">
        <f>+D22-B22</f>
        <v>59.049999999999955</v>
      </c>
      <c r="G22" s="10"/>
      <c r="H22" s="10"/>
    </row>
    <row r="23" spans="1:20" x14ac:dyDescent="0.2">
      <c r="A23" s="44" t="s">
        <v>67</v>
      </c>
      <c r="B23" s="82">
        <v>1392.15</v>
      </c>
      <c r="C23" s="82">
        <v>19.170000000000002</v>
      </c>
      <c r="D23" s="81">
        <v>1443.42</v>
      </c>
      <c r="E23" s="82">
        <v>19.87</v>
      </c>
      <c r="F23" s="83">
        <f>+D23-B23</f>
        <v>51.269999999999982</v>
      </c>
      <c r="G23" s="10"/>
      <c r="H23" s="10"/>
    </row>
    <row r="24" spans="1:20" x14ac:dyDescent="0.2">
      <c r="A24" s="44" t="s">
        <v>53</v>
      </c>
      <c r="B24" s="82">
        <v>157.72</v>
      </c>
      <c r="C24" s="82"/>
      <c r="D24" s="81">
        <v>157.72</v>
      </c>
      <c r="E24" s="82"/>
      <c r="F24" s="83">
        <f>+D24-B24</f>
        <v>0</v>
      </c>
      <c r="G24" s="9"/>
      <c r="H24" s="9"/>
    </row>
    <row r="25" spans="1:20" x14ac:dyDescent="0.2">
      <c r="A25" s="44" t="s">
        <v>54</v>
      </c>
      <c r="B25" s="82">
        <v>70.209999999999994</v>
      </c>
      <c r="C25" s="82"/>
      <c r="D25" s="81">
        <v>70.209999999999994</v>
      </c>
      <c r="E25" s="82"/>
      <c r="F25" s="83"/>
      <c r="G25" s="9"/>
      <c r="H25" s="9"/>
    </row>
    <row r="26" spans="1:20" x14ac:dyDescent="0.2">
      <c r="A26" s="44" t="s">
        <v>67</v>
      </c>
      <c r="B26" s="82"/>
      <c r="C26" s="82">
        <v>19.170000000000002</v>
      </c>
      <c r="E26" s="82">
        <v>19.87</v>
      </c>
      <c r="F26" s="83"/>
      <c r="G26" s="9"/>
      <c r="H26" s="9"/>
    </row>
    <row r="27" spans="1:20" ht="25.5" x14ac:dyDescent="0.2">
      <c r="A27" s="45" t="s">
        <v>65</v>
      </c>
      <c r="B27" s="50">
        <v>165.15</v>
      </c>
      <c r="C27" s="82"/>
      <c r="D27" s="84"/>
      <c r="F27" s="83"/>
      <c r="G27" s="9"/>
      <c r="H27" s="9"/>
    </row>
    <row r="28" spans="1:20" ht="25.5" x14ac:dyDescent="0.2">
      <c r="A28" s="45" t="s">
        <v>66</v>
      </c>
      <c r="B28" s="35">
        <v>171.68</v>
      </c>
      <c r="C28" s="82"/>
      <c r="D28" s="85"/>
      <c r="E28" s="82"/>
      <c r="F28" s="7"/>
      <c r="G28" s="9"/>
      <c r="H28" s="9"/>
    </row>
    <row r="29" spans="1:20" ht="13.5" thickBot="1" x14ac:dyDescent="0.25">
      <c r="A29" s="46"/>
      <c r="B29" s="8"/>
      <c r="C29" s="8"/>
      <c r="D29" s="28"/>
      <c r="E29" s="8"/>
      <c r="F29" s="40"/>
      <c r="G29" s="9"/>
      <c r="H29" s="9"/>
    </row>
    <row r="30" spans="1:20" ht="13.5" thickBot="1" x14ac:dyDescent="0.25">
      <c r="B30" s="12"/>
      <c r="D30" s="1"/>
      <c r="F30" s="9"/>
      <c r="G30" s="9"/>
      <c r="H30" s="9"/>
    </row>
    <row r="31" spans="1:20" ht="30" customHeight="1" x14ac:dyDescent="0.2">
      <c r="A31" s="606" t="s">
        <v>115</v>
      </c>
      <c r="B31" s="607"/>
      <c r="C31" s="608"/>
      <c r="D31" s="1"/>
      <c r="G31" s="9"/>
      <c r="H31" s="9"/>
      <c r="I31" s="9"/>
      <c r="J31" s="9"/>
      <c r="K31" s="1"/>
      <c r="L31" s="1"/>
      <c r="M31" s="1"/>
      <c r="N31" s="1"/>
    </row>
    <row r="32" spans="1:20" s="56" customFormat="1" ht="14.25" x14ac:dyDescent="0.2">
      <c r="A32" s="60"/>
      <c r="B32" s="57" t="s">
        <v>61</v>
      </c>
      <c r="C32" s="61"/>
      <c r="D32" s="53"/>
      <c r="E32" s="54"/>
      <c r="F32" s="54"/>
      <c r="G32" s="54"/>
      <c r="H32" s="54"/>
      <c r="I32" s="54"/>
      <c r="J32" s="54"/>
      <c r="K32" s="53"/>
      <c r="L32" s="53"/>
      <c r="M32" s="53"/>
      <c r="N32" s="53"/>
      <c r="O32" s="55"/>
      <c r="P32" s="55"/>
      <c r="Q32" s="55"/>
      <c r="R32" s="55"/>
      <c r="S32" s="55"/>
      <c r="T32" s="55"/>
    </row>
    <row r="33" spans="1:20" x14ac:dyDescent="0.2">
      <c r="A33" s="62" t="s">
        <v>62</v>
      </c>
      <c r="B33" s="58">
        <v>992.25</v>
      </c>
      <c r="C33" s="63">
        <f>2796.09/8</f>
        <v>349.51125000000002</v>
      </c>
      <c r="D33" s="1"/>
      <c r="E33" s="9"/>
      <c r="F33" s="9"/>
      <c r="G33" s="9"/>
      <c r="H33" s="9"/>
      <c r="I33" s="9"/>
      <c r="J33" s="9"/>
      <c r="K33" s="1"/>
      <c r="L33" s="1"/>
      <c r="M33" s="1"/>
      <c r="N33" s="1"/>
    </row>
    <row r="34" spans="1:20" x14ac:dyDescent="0.2">
      <c r="A34" s="62" t="s">
        <v>48</v>
      </c>
      <c r="B34" s="59">
        <v>992.25</v>
      </c>
      <c r="C34" s="63">
        <f>2796.09/8</f>
        <v>349.51125000000002</v>
      </c>
      <c r="D34" s="1"/>
      <c r="E34" s="9"/>
      <c r="F34" s="9"/>
      <c r="G34" s="9"/>
      <c r="H34" s="9"/>
      <c r="I34" s="9"/>
      <c r="J34" s="9"/>
      <c r="K34" s="1"/>
      <c r="L34" s="1"/>
      <c r="M34" s="1"/>
      <c r="N34" s="1"/>
    </row>
    <row r="35" spans="1:20" ht="13.5" thickBot="1" x14ac:dyDescent="0.25">
      <c r="A35" s="64" t="s">
        <v>63</v>
      </c>
      <c r="B35" s="65">
        <v>992.25</v>
      </c>
      <c r="C35" s="63">
        <f>2796.09/8</f>
        <v>349.51125000000002</v>
      </c>
      <c r="D35" s="1"/>
      <c r="E35" s="9"/>
      <c r="F35" s="9"/>
      <c r="G35" s="9"/>
      <c r="H35" s="9"/>
      <c r="I35" s="9"/>
      <c r="J35" s="9"/>
      <c r="K35" s="1"/>
      <c r="L35" s="1"/>
      <c r="M35" s="1"/>
      <c r="N35" s="1"/>
    </row>
    <row r="36" spans="1:20" x14ac:dyDescent="0.2">
      <c r="B36" s="12"/>
    </row>
    <row r="37" spans="1:20" x14ac:dyDescent="0.2">
      <c r="B37" s="12"/>
    </row>
    <row r="38" spans="1:20" x14ac:dyDescent="0.2">
      <c r="B38" s="12"/>
    </row>
    <row r="39" spans="1:20" x14ac:dyDescent="0.2">
      <c r="B39" t="s">
        <v>12</v>
      </c>
      <c r="C39" t="s">
        <v>13</v>
      </c>
      <c r="D39" t="s">
        <v>56</v>
      </c>
      <c r="E39" s="6" t="s">
        <v>15</v>
      </c>
      <c r="F39" s="6" t="s">
        <v>17</v>
      </c>
    </row>
    <row r="43" spans="1:20" s="5" customFormat="1" ht="30" customHeight="1" x14ac:dyDescent="0.2">
      <c r="A43" s="600" t="s">
        <v>101</v>
      </c>
      <c r="B43" s="600"/>
      <c r="C43" s="600"/>
      <c r="D43" s="600"/>
      <c r="E43" s="600"/>
      <c r="F43" s="600"/>
      <c r="G43" s="601"/>
      <c r="H43" s="6"/>
      <c r="I43" s="6"/>
      <c r="J43" s="6"/>
      <c r="O43" s="6"/>
      <c r="P43" s="6"/>
      <c r="Q43" s="6"/>
      <c r="R43" s="6"/>
      <c r="S43" s="6"/>
      <c r="T43" s="6"/>
    </row>
    <row r="44" spans="1:20" ht="15" x14ac:dyDescent="0.2">
      <c r="A44" s="77" t="s">
        <v>87</v>
      </c>
      <c r="B44" s="18" t="s">
        <v>12</v>
      </c>
      <c r="C44" s="18" t="s">
        <v>13</v>
      </c>
      <c r="D44" s="18" t="s">
        <v>56</v>
      </c>
      <c r="E44" s="18" t="s">
        <v>15</v>
      </c>
      <c r="F44" s="18" t="s">
        <v>17</v>
      </c>
      <c r="G44" s="19" t="s">
        <v>26</v>
      </c>
    </row>
    <row r="45" spans="1:20" ht="13.5" thickBot="1" x14ac:dyDescent="0.25">
      <c r="A45" s="77" t="s">
        <v>102</v>
      </c>
      <c r="B45" s="25">
        <f>30.61*O39</f>
        <v>0</v>
      </c>
      <c r="C45" s="25">
        <f>1494.64*O3</f>
        <v>1531.9686340000001</v>
      </c>
      <c r="D45" s="25">
        <f>1191.3*O3</f>
        <v>1221.0527175</v>
      </c>
      <c r="E45" s="25">
        <f>793.26*O3</f>
        <v>813.07166849999999</v>
      </c>
      <c r="F45" s="25">
        <f>592.59*O3</f>
        <v>607.38993525000001</v>
      </c>
      <c r="G45" s="26">
        <f>386.98*O3</f>
        <v>396.64482550000002</v>
      </c>
    </row>
    <row r="48" spans="1:20" x14ac:dyDescent="0.2">
      <c r="A48" s="602" t="s">
        <v>104</v>
      </c>
      <c r="B48" s="602"/>
    </row>
    <row r="49" spans="1:2" x14ac:dyDescent="0.2">
      <c r="A49" t="s">
        <v>103</v>
      </c>
      <c r="B49" s="78">
        <f>598.01*O3</f>
        <v>612.94529975</v>
      </c>
    </row>
    <row r="50" spans="1:2" x14ac:dyDescent="0.2">
      <c r="A50" t="s">
        <v>105</v>
      </c>
      <c r="B50" s="78">
        <f>1221.05*O3</f>
        <v>1251.54572375</v>
      </c>
    </row>
    <row r="51" spans="1:2" x14ac:dyDescent="0.2">
      <c r="A51" t="s">
        <v>106</v>
      </c>
      <c r="B51" s="78">
        <f>989.08*O3</f>
        <v>1013.782273</v>
      </c>
    </row>
  </sheetData>
  <mergeCells count="9">
    <mergeCell ref="A43:G43"/>
    <mergeCell ref="A48:B48"/>
    <mergeCell ref="A12:W12"/>
    <mergeCell ref="A7:G7"/>
    <mergeCell ref="A2:G2"/>
    <mergeCell ref="A17:F17"/>
    <mergeCell ref="A31:C31"/>
    <mergeCell ref="M3:N3"/>
    <mergeCell ref="B18:F18"/>
  </mergeCells>
  <phoneticPr fontId="3" type="noConversion"/>
  <pageMargins left="0.43402777777777779" right="8.2638888888888887E-2" top="0.98402777777777772" bottom="0.77152777777777781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PLANTILLA</vt:lpstr>
      <vt:lpstr>RETRIBUCIONES 2025</vt:lpstr>
      <vt:lpstr>CD</vt:lpstr>
      <vt:lpstr>Excel_BuiltIn_Print_Titles_1</vt:lpstr>
      <vt:lpstr>PAGA_EXTRA</vt:lpstr>
      <vt:lpstr>PLANTILLA!Print_Area</vt:lpstr>
      <vt:lpstr>RETRIBUCION_BASICA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Interventora</cp:lastModifiedBy>
  <cp:lastPrinted>2024-12-12T13:07:53Z</cp:lastPrinted>
  <dcterms:created xsi:type="dcterms:W3CDTF">2012-02-07T11:50:18Z</dcterms:created>
  <dcterms:modified xsi:type="dcterms:W3CDTF">2024-12-12T13:12:02Z</dcterms:modified>
</cp:coreProperties>
</file>